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Denne_projektmappe"/>
  <mc:AlternateContent xmlns:mc="http://schemas.openxmlformats.org/markup-compatibility/2006">
    <mc:Choice Requires="x15">
      <x15ac:absPath xmlns:x15ac="http://schemas.microsoft.com/office/spreadsheetml/2010/11/ac" url="https://demcloud.sharepoint.com/sites/EAMDScorecard/Delte dokumenter/General/"/>
    </mc:Choice>
  </mc:AlternateContent>
  <xr:revisionPtr revIDLastSave="132" documentId="8_{1B54FD95-C469-46BC-A182-87C64B9AE89C}" xr6:coauthVersionLast="47" xr6:coauthVersionMax="47" xr10:uidLastSave="{98291C95-C775-4E19-BC28-D8A763B9D4F0}"/>
  <bookViews>
    <workbookView xWindow="915" yWindow="840" windowWidth="36915" windowHeight="18435" xr2:uid="{5CF12F02-7CF6-4C9E-91E4-AB73AA8DC2C5}"/>
  </bookViews>
  <sheets>
    <sheet name="User Manual" sheetId="22" r:id="rId1"/>
    <sheet name="Boundaries and Process" sheetId="36" r:id="rId2"/>
    <sheet name="Demand side" sheetId="35" r:id="rId3"/>
    <sheet name="Supply side" sheetId="37" r:id="rId4"/>
    <sheet name="Enabling environment" sheetId="38" r:id="rId5"/>
    <sheet name="Dashboard" sheetId="26" r:id="rId6"/>
    <sheet name="EAMD Scorecard" sheetId="21" r:id="rId7"/>
    <sheet name="Dashboard Comparison" sheetId="32" r:id="rId8"/>
    <sheet name="Labels" sheetId="40" state="hidden" r:id="rId9"/>
    <sheet name="Benchmarks" sheetId="39" state="hidden" r:id="rId10"/>
    <sheet name="Calculation" sheetId="9" state="hidden" r:id="rId11"/>
    <sheet name="Diagram Data" sheetId="41" state="hidden" r:id="rId12"/>
  </sheets>
  <definedNames>
    <definedName name="_xlnm._FilterDatabase" localSheetId="9" hidden="1">Benchmarks!#REF!</definedName>
    <definedName name="_xlnm._FilterDatabase" localSheetId="1" hidden="1">'Boundaries and Process'!#REF!</definedName>
    <definedName name="_xlnm._FilterDatabase" localSheetId="10" hidden="1">Calculation!$A$1:$AC$42</definedName>
    <definedName name="_xlnm._FilterDatabase" localSheetId="2" hidden="1">'Demand side'!$J$4:$N$4</definedName>
    <definedName name="_xlnm._FilterDatabase" localSheetId="6" hidden="1">'EAMD Scorecard'!$B$6:$H$32</definedName>
    <definedName name="_xlnm._FilterDatabase" localSheetId="4" hidden="1">'Enabling environment'!$J$4:$N$4</definedName>
    <definedName name="_xlnm._FilterDatabase" localSheetId="3" hidden="1">'Supply side'!$J$4:$N$4</definedName>
    <definedName name="_no_of_techs">Calculation!$AW$13</definedName>
    <definedName name="Country">'Boundaries and Process'!$C$5</definedName>
    <definedName name="Demand_obs">'Demand side'!$E$3</definedName>
    <definedName name="EnEn_obs">'Enabling environment'!$E$3</definedName>
    <definedName name="Geographical_boundaries">'Boundaries and Process'!$E$5</definedName>
    <definedName name="LanguageSelection">'Boundaries and Process'!$C$2</definedName>
    <definedName name="PASdruckasPicture">Dashboard!$C$2:$I$69</definedName>
    <definedName name="Supply_obs">'Supply side'!$E$3</definedName>
    <definedName name="Target_group_boundaries">'Boundaries and Process'!$E$7</definedName>
    <definedName name="Technological_boundaries">'Boundaries and Process'!$E$6</definedName>
    <definedName name="Technology">'Boundaries and Process'!$C$6</definedName>
    <definedName name="TechnologyLookup">INDEX(Calculation!$AO$2:$AO$11,MATCH(Calculation!$T$3,Calculation!$AP$2:$AP$11,0))</definedName>
    <definedName name="_xlnm.Print_Area" localSheetId="9">Benchmarks!$B$1:$T$43</definedName>
    <definedName name="_xlnm.Print_Area" localSheetId="1">'Boundaries and Process'!$A$4:$D$6</definedName>
    <definedName name="_xlnm.Print_Area" localSheetId="10">Calculation!$B$2:$K$40</definedName>
    <definedName name="_xlnm.Print_Area" localSheetId="5">Dashboard!$C$2:$I$72</definedName>
    <definedName name="_xlnm.Print_Area" localSheetId="7">'Dashboard Comparison'!$1:$65</definedName>
    <definedName name="_xlnm.Print_Area" localSheetId="2">'Demand side'!$A$1:$M$13</definedName>
    <definedName name="_xlnm.Print_Area" localSheetId="6">'EAMD Scorecard'!$A$2:$G$62</definedName>
    <definedName name="_xlnm.Print_Area" localSheetId="4">'Enabling environment'!$A$1:$M$20</definedName>
    <definedName name="_xlnm.Print_Area" localSheetId="3">'Supply side'!$A$1:$M$22</definedName>
    <definedName name="_xlnm.Print_Area" localSheetId="0">'User Manual'!$A$1:$N$61</definedName>
    <definedName name="Year">'Boundaries and Process'!$C$8</definedName>
  </definedNames>
  <calcPr calcId="191028"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31" i="32" l="1"/>
  <c r="AZ32" i="32"/>
  <c r="AZ33" i="32"/>
  <c r="AZ34" i="32"/>
  <c r="AZ35" i="32"/>
  <c r="AZ36" i="32"/>
  <c r="AZ37" i="32"/>
  <c r="AZ38" i="32"/>
  <c r="AZ39" i="32"/>
  <c r="AZ40" i="32"/>
  <c r="AZ41" i="32"/>
  <c r="AZ42" i="32"/>
  <c r="AZ43" i="32"/>
  <c r="AY31" i="32"/>
  <c r="AY32" i="32"/>
  <c r="AY33" i="32"/>
  <c r="AY34" i="32"/>
  <c r="AY35" i="32"/>
  <c r="AY36" i="32"/>
  <c r="AY37" i="32"/>
  <c r="AY38" i="32"/>
  <c r="AY39" i="32"/>
  <c r="AY40" i="32"/>
  <c r="AY41" i="32"/>
  <c r="AY42" i="32"/>
  <c r="AY43" i="32"/>
  <c r="AM33" i="32"/>
  <c r="AM34" i="32"/>
  <c r="AM35" i="32"/>
  <c r="AM36" i="32"/>
  <c r="AM37" i="32"/>
  <c r="AM38" i="32"/>
  <c r="AM39" i="32"/>
  <c r="AM40" i="32"/>
  <c r="AM41" i="32"/>
  <c r="AM42" i="32"/>
  <c r="AM43" i="32"/>
  <c r="AM44" i="32"/>
  <c r="AN33" i="32"/>
  <c r="AN34" i="32"/>
  <c r="AN35" i="32"/>
  <c r="AN36" i="32"/>
  <c r="AN37" i="32"/>
  <c r="AN38" i="32"/>
  <c r="AN39" i="32"/>
  <c r="AN40" i="32"/>
  <c r="AN41" i="32"/>
  <c r="AN42" i="32"/>
  <c r="AN43" i="32"/>
  <c r="AN44" i="32"/>
  <c r="AT33" i="32"/>
  <c r="AT34" i="32"/>
  <c r="AT35" i="32"/>
  <c r="AT36" i="32"/>
  <c r="AT37" i="32"/>
  <c r="AT38" i="32"/>
  <c r="AS33" i="32"/>
  <c r="AS34" i="32"/>
  <c r="AS35" i="32"/>
  <c r="AS36" i="32"/>
  <c r="AS37" i="32"/>
  <c r="AS38" i="32"/>
  <c r="W2" i="32"/>
  <c r="AZ2" i="9"/>
  <c r="D4" i="21"/>
  <c r="AI1" i="41"/>
  <c r="AF1" i="41"/>
  <c r="AC1" i="41"/>
  <c r="J1" i="41"/>
  <c r="D8" i="36"/>
  <c r="G5" i="36"/>
  <c r="AK1" i="32"/>
  <c r="D3" i="21"/>
  <c r="L3" i="21"/>
  <c r="D39" i="9"/>
  <c r="D32" i="9"/>
  <c r="D31" i="9"/>
  <c r="D25" i="9"/>
  <c r="D24" i="9"/>
  <c r="D23" i="9"/>
  <c r="E68" i="26"/>
  <c r="D40" i="9"/>
  <c r="E67" i="26"/>
  <c r="E66" i="26"/>
  <c r="D38" i="9"/>
  <c r="E65" i="26"/>
  <c r="D37" i="9"/>
  <c r="E64" i="26"/>
  <c r="D36" i="9"/>
  <c r="E63" i="26"/>
  <c r="D35" i="9"/>
  <c r="E62" i="26"/>
  <c r="D34" i="9"/>
  <c r="E61" i="26"/>
  <c r="D33" i="9"/>
  <c r="E60" i="26"/>
  <c r="E59" i="26"/>
  <c r="E58" i="26"/>
  <c r="D30" i="9"/>
  <c r="E57" i="26"/>
  <c r="D29" i="9"/>
  <c r="E56" i="26"/>
  <c r="D28" i="9"/>
  <c r="E55" i="26"/>
  <c r="D27" i="9"/>
  <c r="E53" i="26"/>
  <c r="D26" i="9"/>
  <c r="E52" i="26"/>
  <c r="E51" i="26"/>
  <c r="E50" i="26"/>
  <c r="E49" i="26"/>
  <c r="D22" i="9"/>
  <c r="E48" i="26"/>
  <c r="D21" i="9"/>
  <c r="E47" i="26"/>
  <c r="D20" i="9"/>
  <c r="E46" i="26"/>
  <c r="D19" i="9"/>
  <c r="E45" i="26"/>
  <c r="D18" i="9"/>
  <c r="CM29" i="39"/>
  <c r="DA29" i="39"/>
  <c r="CZ29" i="39"/>
  <c r="CY29" i="39"/>
  <c r="CX29" i="39"/>
  <c r="CW29" i="39"/>
  <c r="CV29" i="39"/>
  <c r="CU29" i="39"/>
  <c r="CT29" i="39"/>
  <c r="CS29" i="39"/>
  <c r="DA28" i="39"/>
  <c r="CZ28" i="39"/>
  <c r="CY28" i="39"/>
  <c r="CX28" i="39"/>
  <c r="CV28" i="39"/>
  <c r="CU28" i="39"/>
  <c r="CT28" i="39"/>
  <c r="CS28" i="39"/>
  <c r="CQ29" i="39"/>
  <c r="CP29" i="39"/>
  <c r="CO29" i="39"/>
  <c r="CN29" i="39"/>
  <c r="CQ28" i="39"/>
  <c r="CP28" i="39"/>
  <c r="CO28" i="39"/>
  <c r="CN28" i="39"/>
  <c r="CL29" i="39"/>
  <c r="CL28" i="39"/>
  <c r="CC29" i="39"/>
  <c r="BY29" i="39"/>
  <c r="BZ29" i="39"/>
  <c r="CA29" i="39"/>
  <c r="CB29" i="39"/>
  <c r="CD29" i="39"/>
  <c r="CE29" i="39"/>
  <c r="CF29" i="39"/>
  <c r="CG29" i="39"/>
  <c r="BY28" i="39"/>
  <c r="BZ28" i="39"/>
  <c r="CA28" i="39"/>
  <c r="CB28" i="39"/>
  <c r="CD28" i="39"/>
  <c r="CE28" i="39"/>
  <c r="CF28" i="39"/>
  <c r="CG28" i="39"/>
  <c r="BS29" i="39"/>
  <c r="BO29" i="39"/>
  <c r="BP29" i="39"/>
  <c r="BQ29" i="39"/>
  <c r="BR29" i="39"/>
  <c r="BT29" i="39"/>
  <c r="BU29" i="39"/>
  <c r="BV29" i="39"/>
  <c r="BW29" i="39"/>
  <c r="BO28" i="39"/>
  <c r="BP28" i="39"/>
  <c r="BQ28" i="39"/>
  <c r="BR28" i="39"/>
  <c r="BT28" i="39"/>
  <c r="BU28" i="39"/>
  <c r="BV28" i="39"/>
  <c r="BW28" i="39"/>
  <c r="BS13" i="39"/>
  <c r="Q7" i="39"/>
  <c r="P7" i="39"/>
  <c r="R7" i="39"/>
  <c r="T7" i="39"/>
  <c r="J16" i="39"/>
  <c r="BI25" i="39"/>
  <c r="BE29" i="39"/>
  <c r="BF29" i="39"/>
  <c r="BG29" i="39"/>
  <c r="BH29" i="39"/>
  <c r="BJ29" i="39"/>
  <c r="BK29" i="39"/>
  <c r="BL29" i="39"/>
  <c r="BM29" i="39"/>
  <c r="BE28" i="39"/>
  <c r="BF28" i="39"/>
  <c r="BG28" i="39"/>
  <c r="BH28" i="39"/>
  <c r="BJ28" i="39"/>
  <c r="BK28" i="39"/>
  <c r="BL28" i="39"/>
  <c r="BM28" i="39"/>
  <c r="AD36" i="39"/>
  <c r="AD37" i="39"/>
  <c r="AD38" i="39"/>
  <c r="AD39" i="39"/>
  <c r="AD40" i="39"/>
  <c r="AD41" i="39"/>
  <c r="AD42" i="39"/>
  <c r="V63" i="32"/>
  <c r="V62" i="32"/>
  <c r="V61" i="32"/>
  <c r="V60" i="32"/>
  <c r="V59" i="32"/>
  <c r="V58" i="32"/>
  <c r="V57" i="32"/>
  <c r="V56" i="32"/>
  <c r="V55" i="32"/>
  <c r="V54" i="32"/>
  <c r="V53" i="32"/>
  <c r="V52" i="32"/>
  <c r="V51" i="32"/>
  <c r="V50" i="32"/>
  <c r="V49" i="32"/>
  <c r="V48" i="32"/>
  <c r="V47" i="32"/>
  <c r="V46" i="32"/>
  <c r="V45" i="32"/>
  <c r="V44" i="32"/>
  <c r="V43" i="32"/>
  <c r="V42" i="32"/>
  <c r="V41" i="32"/>
  <c r="V40" i="32"/>
  <c r="V39" i="32"/>
  <c r="V38" i="32"/>
  <c r="V37" i="32"/>
  <c r="V36" i="32"/>
  <c r="V35" i="32"/>
  <c r="V34" i="32"/>
  <c r="V33" i="32"/>
  <c r="V32" i="32"/>
  <c r="V31" i="32"/>
  <c r="V30" i="32"/>
  <c r="V29" i="32"/>
  <c r="V28" i="32"/>
  <c r="U63" i="32"/>
  <c r="L63" i="32"/>
  <c r="L62" i="32"/>
  <c r="L61" i="32"/>
  <c r="L60" i="32"/>
  <c r="L59" i="32"/>
  <c r="L58" i="32"/>
  <c r="L57" i="32"/>
  <c r="L56" i="32"/>
  <c r="L55" i="32"/>
  <c r="L54" i="32"/>
  <c r="L53" i="32"/>
  <c r="L52" i="32"/>
  <c r="L51" i="32"/>
  <c r="L50" i="32"/>
  <c r="L49" i="32"/>
  <c r="L48" i="32"/>
  <c r="U62" i="32"/>
  <c r="U61" i="32"/>
  <c r="U60" i="32"/>
  <c r="U59" i="32"/>
  <c r="U58" i="32"/>
  <c r="U57" i="32"/>
  <c r="U56" i="32"/>
  <c r="U55" i="32"/>
  <c r="U54" i="32"/>
  <c r="U53" i="32"/>
  <c r="U52" i="32"/>
  <c r="U51" i="32"/>
  <c r="U50" i="32"/>
  <c r="U49" i="32"/>
  <c r="U48" i="32"/>
  <c r="U47" i="32"/>
  <c r="U46" i="32"/>
  <c r="U45" i="32"/>
  <c r="U44" i="32"/>
  <c r="U43" i="32"/>
  <c r="U42" i="32"/>
  <c r="U41" i="32"/>
  <c r="U40" i="32"/>
  <c r="U39" i="32"/>
  <c r="U38" i="32"/>
  <c r="U37" i="32"/>
  <c r="U36" i="32"/>
  <c r="U35" i="32"/>
  <c r="U34" i="32"/>
  <c r="U33" i="32"/>
  <c r="U32" i="32"/>
  <c r="U31" i="32"/>
  <c r="U30" i="32"/>
  <c r="U29" i="32"/>
  <c r="U28" i="32"/>
  <c r="K63" i="32"/>
  <c r="K62" i="32"/>
  <c r="K61" i="32"/>
  <c r="K60" i="32"/>
  <c r="K59" i="32"/>
  <c r="K58" i="32"/>
  <c r="K57" i="32"/>
  <c r="K56" i="32"/>
  <c r="K55" i="32"/>
  <c r="K54" i="32"/>
  <c r="K53" i="32"/>
  <c r="K52" i="32"/>
  <c r="K51" i="32"/>
  <c r="K50" i="32"/>
  <c r="K49" i="32"/>
  <c r="K48" i="32"/>
  <c r="B13" i="37"/>
  <c r="B11" i="37"/>
  <c r="AJ20" i="41"/>
  <c r="AJ19" i="41"/>
  <c r="AJ18" i="41"/>
  <c r="AJ17" i="41"/>
  <c r="AJ16" i="41"/>
  <c r="AJ15" i="41"/>
  <c r="AJ14" i="41"/>
  <c r="AJ13" i="41"/>
  <c r="AJ12" i="41"/>
  <c r="AJ11" i="41"/>
  <c r="AJ10" i="41"/>
  <c r="AJ9" i="41"/>
  <c r="AJ8" i="41"/>
  <c r="AJ7" i="41"/>
  <c r="AJ6" i="41"/>
  <c r="AJ5" i="41"/>
  <c r="AJ4" i="41"/>
  <c r="AJ3" i="41"/>
  <c r="AG20" i="41"/>
  <c r="AG19" i="41"/>
  <c r="AG18" i="41"/>
  <c r="AG17" i="41"/>
  <c r="AG16" i="41"/>
  <c r="AG15" i="41"/>
  <c r="AG14" i="41"/>
  <c r="AG13" i="41"/>
  <c r="AG12" i="41"/>
  <c r="AG11" i="41"/>
  <c r="AG10" i="41"/>
  <c r="AG9" i="41"/>
  <c r="AG8" i="41"/>
  <c r="AG7" i="41"/>
  <c r="AG6" i="41"/>
  <c r="AG5" i="41"/>
  <c r="AG4" i="41"/>
  <c r="AG3" i="41"/>
  <c r="AD15" i="41"/>
  <c r="AD9" i="41"/>
  <c r="AD5" i="41"/>
  <c r="AD6" i="41"/>
  <c r="AD7" i="41"/>
  <c r="AD8" i="41"/>
  <c r="AD10" i="41"/>
  <c r="AD11" i="41"/>
  <c r="AD12" i="41"/>
  <c r="AD13" i="41"/>
  <c r="AD14" i="41"/>
  <c r="AD4" i="41"/>
  <c r="AP58" i="32"/>
  <c r="AV58" i="32"/>
  <c r="M62" i="32"/>
  <c r="M61" i="32"/>
  <c r="M60" i="32"/>
  <c r="M59" i="32"/>
  <c r="M58" i="32"/>
  <c r="M57" i="32"/>
  <c r="M56" i="32"/>
  <c r="M55" i="32"/>
  <c r="M54" i="32"/>
  <c r="M53" i="32"/>
  <c r="M52" i="32"/>
  <c r="M51" i="32"/>
  <c r="M50" i="32"/>
  <c r="M49" i="32"/>
  <c r="M48" i="32"/>
  <c r="M47" i="32"/>
  <c r="M46" i="32"/>
  <c r="M45" i="32"/>
  <c r="M44" i="32"/>
  <c r="M43" i="32"/>
  <c r="M42" i="32"/>
  <c r="M41" i="32"/>
  <c r="M40" i="32"/>
  <c r="M39" i="32"/>
  <c r="M38" i="32"/>
  <c r="M37" i="32"/>
  <c r="M36" i="32"/>
  <c r="M35" i="32"/>
  <c r="M34" i="32"/>
  <c r="M33" i="32"/>
  <c r="M32" i="32"/>
  <c r="M31" i="32"/>
  <c r="M30" i="32"/>
  <c r="M29" i="32"/>
  <c r="M28" i="32"/>
  <c r="D63" i="32"/>
  <c r="D62" i="32"/>
  <c r="D61" i="32"/>
  <c r="D60" i="32"/>
  <c r="D59" i="32"/>
  <c r="D58" i="32"/>
  <c r="D57" i="32"/>
  <c r="D56" i="32"/>
  <c r="D55" i="32"/>
  <c r="D54" i="32"/>
  <c r="D53" i="32"/>
  <c r="D52" i="32"/>
  <c r="D51" i="32"/>
  <c r="D50" i="32"/>
  <c r="D49" i="32"/>
  <c r="D48" i="32"/>
  <c r="F75" i="41"/>
  <c r="F74" i="41"/>
  <c r="F73" i="41"/>
  <c r="F72" i="41"/>
  <c r="F71" i="41"/>
  <c r="F70" i="41"/>
  <c r="F69" i="41"/>
  <c r="F68" i="41"/>
  <c r="F67" i="41"/>
  <c r="F66" i="41"/>
  <c r="F65" i="41"/>
  <c r="F64" i="41"/>
  <c r="F63" i="41"/>
  <c r="F62" i="41"/>
  <c r="F61" i="41"/>
  <c r="F60" i="41"/>
  <c r="F59" i="41"/>
  <c r="AZ30" i="32"/>
  <c r="F58" i="41"/>
  <c r="F57" i="41"/>
  <c r="F56" i="41"/>
  <c r="F55" i="41"/>
  <c r="F54" i="41"/>
  <c r="F53" i="41"/>
  <c r="F52" i="41"/>
  <c r="AT32" i="32"/>
  <c r="F51" i="41"/>
  <c r="AT31" i="32"/>
  <c r="F50" i="41"/>
  <c r="AT30" i="32"/>
  <c r="F49" i="41"/>
  <c r="F48" i="41"/>
  <c r="F47" i="41"/>
  <c r="F46" i="41"/>
  <c r="F45" i="41"/>
  <c r="F44" i="41"/>
  <c r="F43" i="41"/>
  <c r="F42" i="41"/>
  <c r="F41" i="41"/>
  <c r="F40" i="41"/>
  <c r="F39" i="41"/>
  <c r="F38" i="41"/>
  <c r="F37" i="41"/>
  <c r="F36" i="41"/>
  <c r="F35" i="41"/>
  <c r="F34" i="41"/>
  <c r="F33" i="41"/>
  <c r="F32" i="41"/>
  <c r="F31" i="41"/>
  <c r="F30" i="41"/>
  <c r="F29" i="41"/>
  <c r="F28" i="41"/>
  <c r="F27" i="41"/>
  <c r="AN32" i="32"/>
  <c r="F26" i="41"/>
  <c r="AN31" i="32"/>
  <c r="F25" i="41"/>
  <c r="AN30" i="32"/>
  <c r="E75" i="41"/>
  <c r="E74" i="41"/>
  <c r="E73" i="41"/>
  <c r="E72" i="41"/>
  <c r="E71" i="41"/>
  <c r="E70" i="41"/>
  <c r="E69" i="41"/>
  <c r="E68" i="41"/>
  <c r="E67" i="41"/>
  <c r="E66" i="41"/>
  <c r="E65" i="41"/>
  <c r="E64" i="41"/>
  <c r="E63" i="41"/>
  <c r="E62" i="41"/>
  <c r="E61" i="41"/>
  <c r="E60" i="41"/>
  <c r="E59" i="41"/>
  <c r="AY30" i="32"/>
  <c r="E58" i="41"/>
  <c r="E57" i="41"/>
  <c r="E56" i="41"/>
  <c r="E55" i="41"/>
  <c r="E54" i="41"/>
  <c r="E53" i="41"/>
  <c r="E52" i="41"/>
  <c r="AS32" i="32"/>
  <c r="E51" i="41"/>
  <c r="AS31" i="32"/>
  <c r="E50" i="41"/>
  <c r="AS30" i="32"/>
  <c r="E49" i="41"/>
  <c r="E48" i="41"/>
  <c r="E47" i="41"/>
  <c r="E46" i="41"/>
  <c r="E45" i="41"/>
  <c r="E44" i="41"/>
  <c r="E43" i="41"/>
  <c r="E42" i="41"/>
  <c r="E41" i="41"/>
  <c r="E40" i="41"/>
  <c r="E39" i="41"/>
  <c r="E38" i="41"/>
  <c r="E37" i="41"/>
  <c r="E36" i="41"/>
  <c r="E35" i="41"/>
  <c r="E34" i="41"/>
  <c r="E33" i="41"/>
  <c r="E32" i="41"/>
  <c r="E31" i="41"/>
  <c r="E30" i="41"/>
  <c r="E29" i="41"/>
  <c r="E28" i="41"/>
  <c r="E27" i="41"/>
  <c r="AM32" i="32"/>
  <c r="E26" i="41"/>
  <c r="AM31" i="32"/>
  <c r="E25" i="41"/>
  <c r="AM30" i="32"/>
  <c r="N4" i="41"/>
  <c r="N5" i="41"/>
  <c r="N6" i="41"/>
  <c r="N7" i="41"/>
  <c r="N9" i="41"/>
  <c r="N10" i="41"/>
  <c r="N11" i="41"/>
  <c r="N12" i="41"/>
  <c r="N13" i="41"/>
  <c r="N14" i="41"/>
  <c r="N16" i="41"/>
  <c r="N17" i="41"/>
  <c r="N18" i="41"/>
  <c r="N19" i="41"/>
  <c r="N20" i="41"/>
  <c r="C25" i="41"/>
  <c r="G25" i="41"/>
  <c r="D75" i="41"/>
  <c r="H75" i="41"/>
  <c r="D74" i="41"/>
  <c r="H74" i="41"/>
  <c r="C75" i="41"/>
  <c r="G75" i="41"/>
  <c r="C74" i="41"/>
  <c r="G8" i="41"/>
  <c r="H8" i="41"/>
  <c r="I8" i="41"/>
  <c r="AW13" i="9"/>
  <c r="C8" i="41"/>
  <c r="B8" i="41"/>
  <c r="D1" i="41"/>
  <c r="G1" i="41"/>
  <c r="G65" i="21"/>
  <c r="H53" i="26"/>
  <c r="G64" i="21"/>
  <c r="H52" i="26"/>
  <c r="G45" i="21"/>
  <c r="G44" i="21"/>
  <c r="G43" i="21"/>
  <c r="G42" i="21"/>
  <c r="G41" i="21"/>
  <c r="G40" i="21"/>
  <c r="G39" i="21"/>
  <c r="G38" i="21"/>
  <c r="G37" i="21"/>
  <c r="G74" i="41"/>
  <c r="AD16" i="41"/>
  <c r="D8" i="41"/>
  <c r="E8" i="41"/>
  <c r="F8" i="41"/>
  <c r="X15" i="41"/>
  <c r="Y15" i="41"/>
  <c r="AD17" i="41"/>
  <c r="AP38" i="32"/>
  <c r="AP37" i="32"/>
  <c r="X1" i="41"/>
  <c r="Z1" i="41"/>
  <c r="AN35" i="39"/>
  <c r="T35" i="39"/>
  <c r="J19" i="39"/>
  <c r="T12" i="39"/>
  <c r="AN12" i="39"/>
  <c r="D60" i="41"/>
  <c r="H60" i="41"/>
  <c r="D61" i="41"/>
  <c r="H61" i="41"/>
  <c r="D62" i="41"/>
  <c r="H62" i="41"/>
  <c r="D63" i="41"/>
  <c r="H63" i="41"/>
  <c r="D64" i="41"/>
  <c r="H64" i="41"/>
  <c r="D65" i="41"/>
  <c r="H65" i="41"/>
  <c r="D66" i="41"/>
  <c r="H66" i="41"/>
  <c r="D67" i="41"/>
  <c r="H67" i="41"/>
  <c r="D68" i="41"/>
  <c r="H68" i="41"/>
  <c r="D69" i="41"/>
  <c r="H69" i="41"/>
  <c r="D70" i="41"/>
  <c r="H70" i="41"/>
  <c r="D71" i="41"/>
  <c r="H71" i="41"/>
  <c r="D72" i="41"/>
  <c r="H72" i="41"/>
  <c r="D73" i="41"/>
  <c r="H73" i="41"/>
  <c r="D59" i="41"/>
  <c r="H59" i="41"/>
  <c r="C60" i="41"/>
  <c r="G60" i="41"/>
  <c r="C61" i="41"/>
  <c r="G61" i="41"/>
  <c r="C62" i="41"/>
  <c r="G62" i="41"/>
  <c r="C63" i="41"/>
  <c r="G63" i="41"/>
  <c r="C64" i="41"/>
  <c r="G64" i="41"/>
  <c r="C65" i="41"/>
  <c r="G65" i="41"/>
  <c r="C66" i="41"/>
  <c r="G66" i="41"/>
  <c r="C67" i="41"/>
  <c r="G67" i="41"/>
  <c r="C68" i="41"/>
  <c r="G68" i="41"/>
  <c r="C69" i="41"/>
  <c r="G69" i="41"/>
  <c r="C70" i="41"/>
  <c r="G70" i="41"/>
  <c r="C71" i="41"/>
  <c r="G71" i="41"/>
  <c r="C72" i="41"/>
  <c r="G72" i="41"/>
  <c r="C73" i="41"/>
  <c r="G73" i="41"/>
  <c r="C59" i="41"/>
  <c r="G59" i="41"/>
  <c r="D51" i="41"/>
  <c r="D52" i="41"/>
  <c r="D53" i="41"/>
  <c r="H53" i="41"/>
  <c r="D54" i="41"/>
  <c r="H54" i="41"/>
  <c r="D55" i="41"/>
  <c r="H55" i="41"/>
  <c r="D56" i="41"/>
  <c r="H56" i="41"/>
  <c r="D57" i="41"/>
  <c r="H57" i="41"/>
  <c r="D58" i="41"/>
  <c r="H58" i="41"/>
  <c r="D50" i="41"/>
  <c r="C51" i="41"/>
  <c r="C52" i="41"/>
  <c r="C53" i="41"/>
  <c r="G53" i="41"/>
  <c r="C54" i="41"/>
  <c r="G54" i="41"/>
  <c r="C55" i="41"/>
  <c r="G55" i="41"/>
  <c r="C56" i="41"/>
  <c r="G56" i="41"/>
  <c r="C57" i="41"/>
  <c r="G57" i="41"/>
  <c r="C58" i="41"/>
  <c r="G58" i="41"/>
  <c r="C50" i="41"/>
  <c r="D26" i="41"/>
  <c r="H26" i="41"/>
  <c r="D27" i="41"/>
  <c r="H27" i="41"/>
  <c r="D28" i="41"/>
  <c r="H28" i="41"/>
  <c r="D29" i="41"/>
  <c r="H29" i="41"/>
  <c r="D30" i="41"/>
  <c r="H30" i="41"/>
  <c r="D31" i="41"/>
  <c r="H31" i="41"/>
  <c r="D32" i="41"/>
  <c r="H32" i="41"/>
  <c r="D33" i="41"/>
  <c r="H33" i="41"/>
  <c r="D34" i="41"/>
  <c r="H34" i="41"/>
  <c r="D35" i="41"/>
  <c r="H35" i="41"/>
  <c r="D36" i="41"/>
  <c r="H36" i="41"/>
  <c r="D37" i="41"/>
  <c r="H37" i="41"/>
  <c r="D38" i="41"/>
  <c r="H38" i="41"/>
  <c r="D39" i="41"/>
  <c r="H39" i="41"/>
  <c r="D40" i="41"/>
  <c r="H40" i="41"/>
  <c r="D41" i="41"/>
  <c r="H41" i="41"/>
  <c r="D42" i="41"/>
  <c r="H42" i="41"/>
  <c r="D43" i="41"/>
  <c r="D44" i="41"/>
  <c r="H44" i="41"/>
  <c r="D45" i="41"/>
  <c r="H45" i="41"/>
  <c r="D46" i="41"/>
  <c r="H46" i="41"/>
  <c r="D47" i="41"/>
  <c r="H47" i="41"/>
  <c r="D48" i="41"/>
  <c r="H48" i="41"/>
  <c r="D49" i="41"/>
  <c r="H49" i="41"/>
  <c r="D25" i="41"/>
  <c r="H25" i="41"/>
  <c r="C26" i="41"/>
  <c r="G26" i="41"/>
  <c r="C27" i="41"/>
  <c r="G27" i="41"/>
  <c r="C28" i="41"/>
  <c r="G28" i="41"/>
  <c r="C29" i="41"/>
  <c r="G29" i="41"/>
  <c r="C30" i="41"/>
  <c r="G30" i="41"/>
  <c r="C31" i="41"/>
  <c r="G31" i="41"/>
  <c r="C32" i="41"/>
  <c r="G32" i="41"/>
  <c r="C33" i="41"/>
  <c r="G33" i="41"/>
  <c r="C34" i="41"/>
  <c r="G34" i="41"/>
  <c r="C35" i="41"/>
  <c r="G35" i="41"/>
  <c r="C36" i="41"/>
  <c r="G36" i="41"/>
  <c r="C37" i="41"/>
  <c r="G37" i="41"/>
  <c r="C38" i="41"/>
  <c r="G38" i="41"/>
  <c r="C39" i="41"/>
  <c r="G39" i="41"/>
  <c r="C40" i="41"/>
  <c r="G40" i="41"/>
  <c r="C41" i="41"/>
  <c r="G41" i="41"/>
  <c r="C42" i="41"/>
  <c r="G42" i="41"/>
  <c r="C43" i="41"/>
  <c r="C44" i="41"/>
  <c r="G44" i="41"/>
  <c r="C45" i="41"/>
  <c r="G45" i="41"/>
  <c r="C46" i="41"/>
  <c r="G46" i="41"/>
  <c r="C47" i="41"/>
  <c r="G47" i="41"/>
  <c r="C48" i="41"/>
  <c r="G48" i="41"/>
  <c r="C49" i="41"/>
  <c r="G49" i="41"/>
  <c r="AX29" i="32"/>
  <c r="AL29" i="32"/>
  <c r="AR29" i="32"/>
  <c r="D16" i="41"/>
  <c r="E16" i="41"/>
  <c r="F16" i="41"/>
  <c r="H43" i="41"/>
  <c r="G12" i="41"/>
  <c r="H12" i="41"/>
  <c r="I12" i="41"/>
  <c r="G52" i="41"/>
  <c r="G14" i="41"/>
  <c r="H14" i="41"/>
  <c r="I14" i="41"/>
  <c r="G50" i="41"/>
  <c r="G13" i="41"/>
  <c r="H13" i="41"/>
  <c r="I13" i="41"/>
  <c r="G51" i="41"/>
  <c r="D12" i="41"/>
  <c r="E12" i="41"/>
  <c r="F12" i="41"/>
  <c r="H52" i="41"/>
  <c r="G16" i="41"/>
  <c r="H16" i="41"/>
  <c r="I16" i="41"/>
  <c r="G43" i="41"/>
  <c r="D14" i="41"/>
  <c r="E14" i="41"/>
  <c r="F14" i="41"/>
  <c r="H50" i="41"/>
  <c r="D13" i="41"/>
  <c r="E13" i="41"/>
  <c r="F13" i="41"/>
  <c r="H51" i="41"/>
  <c r="AD18" i="41"/>
  <c r="AN29" i="32"/>
  <c r="AT29" i="32"/>
  <c r="AZ29" i="32"/>
  <c r="X18" i="41"/>
  <c r="D10" i="41"/>
  <c r="E10" i="41"/>
  <c r="F10" i="41"/>
  <c r="X16" i="41"/>
  <c r="Y16" i="41"/>
  <c r="G4" i="41"/>
  <c r="H4" i="41"/>
  <c r="I4" i="41"/>
  <c r="Y13" i="41"/>
  <c r="D19" i="41"/>
  <c r="E19" i="41"/>
  <c r="F19" i="41"/>
  <c r="Y18" i="41"/>
  <c r="X17" i="41"/>
  <c r="Y8" i="41"/>
  <c r="Y6" i="41"/>
  <c r="X8" i="41"/>
  <c r="X13" i="41"/>
  <c r="Y20" i="41"/>
  <c r="Y17" i="41"/>
  <c r="X6" i="41"/>
  <c r="G11" i="41"/>
  <c r="H11" i="41"/>
  <c r="I11" i="41"/>
  <c r="X19" i="41"/>
  <c r="G20" i="41"/>
  <c r="H20" i="41"/>
  <c r="I20" i="41"/>
  <c r="X5" i="41"/>
  <c r="Y14" i="41"/>
  <c r="X20" i="41"/>
  <c r="X14" i="41"/>
  <c r="G18" i="41"/>
  <c r="H18" i="41"/>
  <c r="I18" i="41"/>
  <c r="Y7" i="41"/>
  <c r="G19" i="41"/>
  <c r="H19" i="41"/>
  <c r="I19" i="41"/>
  <c r="D9" i="41"/>
  <c r="E9" i="41"/>
  <c r="F9" i="41"/>
  <c r="X7" i="41"/>
  <c r="Y9" i="41"/>
  <c r="D4" i="41"/>
  <c r="E4" i="41"/>
  <c r="F4" i="41"/>
  <c r="Y10" i="41"/>
  <c r="Y19" i="41"/>
  <c r="X9" i="41"/>
  <c r="Y3" i="41"/>
  <c r="Y11" i="41"/>
  <c r="X10" i="41"/>
  <c r="D20" i="41"/>
  <c r="E20" i="41"/>
  <c r="F20" i="41"/>
  <c r="D11" i="41"/>
  <c r="E11" i="41"/>
  <c r="F11" i="41"/>
  <c r="Y4" i="41"/>
  <c r="Y12" i="41"/>
  <c r="X3" i="41"/>
  <c r="X11" i="41"/>
  <c r="Y5" i="41"/>
  <c r="X4" i="41"/>
  <c r="X12" i="41"/>
  <c r="D7" i="41"/>
  <c r="E7" i="41"/>
  <c r="F7" i="41"/>
  <c r="D5" i="41"/>
  <c r="E5" i="41"/>
  <c r="F5" i="41"/>
  <c r="G10" i="41"/>
  <c r="H10" i="41"/>
  <c r="I10" i="41"/>
  <c r="G6" i="41"/>
  <c r="H6" i="41"/>
  <c r="I6" i="41"/>
  <c r="D3" i="41"/>
  <c r="E3" i="41"/>
  <c r="F3" i="41"/>
  <c r="D6" i="41"/>
  <c r="E6" i="41"/>
  <c r="F6" i="41"/>
  <c r="G15" i="41"/>
  <c r="H15" i="41"/>
  <c r="I15" i="41"/>
  <c r="G17" i="41"/>
  <c r="H17" i="41"/>
  <c r="I17" i="41"/>
  <c r="D15" i="41"/>
  <c r="E15" i="41"/>
  <c r="F15" i="41"/>
  <c r="G3" i="41"/>
  <c r="H3" i="41"/>
  <c r="I3" i="41"/>
  <c r="D17" i="41"/>
  <c r="E17" i="41"/>
  <c r="F17" i="41"/>
  <c r="D18" i="41"/>
  <c r="E18" i="41"/>
  <c r="F18" i="41"/>
  <c r="G9" i="41"/>
  <c r="H9" i="41"/>
  <c r="I9" i="41"/>
  <c r="G7" i="41"/>
  <c r="H7" i="41"/>
  <c r="I7" i="41"/>
  <c r="G5" i="41"/>
  <c r="H5" i="41"/>
  <c r="I5" i="41"/>
  <c r="AX20" i="39"/>
  <c r="AN20" i="39"/>
  <c r="AD20" i="39"/>
  <c r="T20" i="39"/>
  <c r="J20" i="39"/>
  <c r="D31" i="21"/>
  <c r="AV46" i="32"/>
  <c r="AZ54" i="32"/>
  <c r="AZ53" i="32"/>
  <c r="AZ52" i="32"/>
  <c r="AX50" i="32"/>
  <c r="AX49" i="32"/>
  <c r="AX48" i="32"/>
  <c r="AX47" i="32"/>
  <c r="AJ56" i="32"/>
  <c r="AJ46" i="32"/>
  <c r="W9" i="32"/>
  <c r="E17" i="9"/>
  <c r="AK44" i="32"/>
  <c r="AD19" i="41"/>
  <c r="AV56" i="32"/>
  <c r="AF20" i="41"/>
  <c r="AC20" i="41"/>
  <c r="AI20" i="41"/>
  <c r="AF19" i="41"/>
  <c r="AC19" i="41"/>
  <c r="AI19" i="41"/>
  <c r="AF18" i="41"/>
  <c r="AC18" i="41"/>
  <c r="AI18" i="41"/>
  <c r="AF17" i="41"/>
  <c r="AC17" i="41"/>
  <c r="AI17" i="41"/>
  <c r="AF16" i="41"/>
  <c r="AC16" i="41"/>
  <c r="AI16" i="41"/>
  <c r="AF15" i="41"/>
  <c r="AC15" i="41"/>
  <c r="AI15" i="41"/>
  <c r="AF14" i="41"/>
  <c r="AC14" i="41"/>
  <c r="AI14" i="41"/>
  <c r="AF13" i="41"/>
  <c r="AC13" i="41"/>
  <c r="AI13" i="41"/>
  <c r="AF12" i="41"/>
  <c r="AC12" i="41"/>
  <c r="AI12" i="41"/>
  <c r="AF11" i="41"/>
  <c r="AC11" i="41"/>
  <c r="AI11" i="41"/>
  <c r="AF10" i="41"/>
  <c r="AC10" i="41"/>
  <c r="AI10" i="41"/>
  <c r="AF9" i="41"/>
  <c r="AC9" i="41"/>
  <c r="AI9" i="41"/>
  <c r="AI8" i="41"/>
  <c r="AI7" i="41"/>
  <c r="AI6" i="41"/>
  <c r="AI5" i="41"/>
  <c r="AI4" i="41"/>
  <c r="AI3" i="41"/>
  <c r="AD20" i="41"/>
  <c r="AD32" i="39"/>
  <c r="T32" i="39"/>
  <c r="J14" i="39"/>
  <c r="AD16" i="39"/>
  <c r="T19" i="39"/>
  <c r="C20" i="41"/>
  <c r="C19" i="41"/>
  <c r="C18" i="41"/>
  <c r="C17" i="41"/>
  <c r="C16" i="41"/>
  <c r="C15" i="41"/>
  <c r="C14" i="41"/>
  <c r="C13" i="41"/>
  <c r="C12" i="41"/>
  <c r="C11" i="41"/>
  <c r="C10" i="41"/>
  <c r="C9" i="41"/>
  <c r="B20" i="41"/>
  <c r="B19" i="41"/>
  <c r="B18" i="41"/>
  <c r="B17" i="41"/>
  <c r="B16" i="41"/>
  <c r="B15" i="41"/>
  <c r="B14" i="41"/>
  <c r="B13" i="41"/>
  <c r="B12" i="41"/>
  <c r="B11" i="41"/>
  <c r="B10" i="41"/>
  <c r="B9" i="41"/>
  <c r="B7" i="41"/>
  <c r="B6" i="41"/>
  <c r="B5" i="41"/>
  <c r="B4" i="41"/>
  <c r="B3" i="41"/>
  <c r="C7" i="41"/>
  <c r="T5" i="41"/>
  <c r="T4" i="41"/>
  <c r="T3" i="41"/>
  <c r="C6" i="41"/>
  <c r="C5" i="41"/>
  <c r="C4" i="41"/>
  <c r="C3" i="41"/>
  <c r="AH9" i="41"/>
  <c r="AH11" i="41"/>
  <c r="AH13" i="41"/>
  <c r="AH10" i="41"/>
  <c r="AE9" i="41"/>
  <c r="AH12" i="41"/>
  <c r="AE12" i="41"/>
  <c r="AH14" i="41"/>
  <c r="AE11" i="41"/>
  <c r="AE14" i="41"/>
  <c r="AE10" i="41"/>
  <c r="AE13" i="41"/>
  <c r="AH18" i="41"/>
  <c r="AH15" i="41"/>
  <c r="AE17" i="41"/>
  <c r="AE18" i="41"/>
  <c r="AE20" i="41"/>
  <c r="AH19" i="41"/>
  <c r="AE16" i="41"/>
  <c r="AH16" i="41"/>
  <c r="AE19" i="41"/>
  <c r="AH17" i="41"/>
  <c r="AE15" i="41"/>
  <c r="AH20" i="41"/>
  <c r="AH7" i="41"/>
  <c r="AH3" i="41"/>
  <c r="AH8" i="41"/>
  <c r="AE3" i="41"/>
  <c r="AH4" i="41"/>
  <c r="AH6" i="41"/>
  <c r="AE7" i="41"/>
  <c r="AE6" i="41"/>
  <c r="AE8" i="41"/>
  <c r="AE4" i="41"/>
  <c r="AE5" i="41"/>
  <c r="AH5" i="41"/>
  <c r="B14" i="35"/>
  <c r="T27" i="39"/>
  <c r="AX27" i="39"/>
  <c r="AN27" i="39"/>
  <c r="J27" i="39"/>
  <c r="B112" i="40"/>
  <c r="C112" i="40"/>
  <c r="J15" i="39"/>
  <c r="T10" i="39"/>
  <c r="H65" i="21"/>
  <c r="W26" i="9"/>
  <c r="F65" i="21"/>
  <c r="I26" i="9"/>
  <c r="H26" i="9"/>
  <c r="AR38" i="32"/>
  <c r="E65" i="21"/>
  <c r="F26" i="9"/>
  <c r="H64" i="21"/>
  <c r="W25" i="9"/>
  <c r="F64" i="21"/>
  <c r="I25" i="9"/>
  <c r="H25" i="9"/>
  <c r="AR37" i="32"/>
  <c r="E64" i="21"/>
  <c r="F25" i="9"/>
  <c r="G53" i="26"/>
  <c r="E17" i="32"/>
  <c r="AC14" i="32"/>
  <c r="M26" i="9"/>
  <c r="L26" i="9"/>
  <c r="K26" i="9"/>
  <c r="J26" i="9"/>
  <c r="L25" i="9"/>
  <c r="J25" i="9"/>
  <c r="K25" i="9"/>
  <c r="M25" i="9"/>
  <c r="G25" i="9"/>
  <c r="AC13" i="32"/>
  <c r="G52" i="26"/>
  <c r="AX29" i="39"/>
  <c r="AJ29" i="39"/>
  <c r="AK29" i="39"/>
  <c r="AL29" i="39"/>
  <c r="AM29" i="39"/>
  <c r="AO29" i="39"/>
  <c r="AP29" i="39"/>
  <c r="AQ29" i="39"/>
  <c r="AR29" i="39"/>
  <c r="AN29" i="39"/>
  <c r="Z29" i="39"/>
  <c r="AA29" i="39"/>
  <c r="AB29" i="39"/>
  <c r="AC29" i="39"/>
  <c r="AE29" i="39"/>
  <c r="AF29" i="39"/>
  <c r="AG29" i="39"/>
  <c r="AH29" i="39"/>
  <c r="AD29" i="39"/>
  <c r="P29" i="39"/>
  <c r="Q29" i="39"/>
  <c r="R29" i="39"/>
  <c r="S29" i="39"/>
  <c r="U29" i="39"/>
  <c r="V29" i="39"/>
  <c r="W29" i="39"/>
  <c r="X29" i="39"/>
  <c r="AT28" i="39"/>
  <c r="AU28" i="39"/>
  <c r="AV28" i="39"/>
  <c r="AW28" i="39"/>
  <c r="AY28" i="39"/>
  <c r="AZ28" i="39"/>
  <c r="BA28" i="39"/>
  <c r="BB28" i="39"/>
  <c r="AJ28" i="39"/>
  <c r="AK28" i="39"/>
  <c r="AL28" i="39"/>
  <c r="AM28" i="39"/>
  <c r="AO28" i="39"/>
  <c r="AP28" i="39"/>
  <c r="AQ28" i="39"/>
  <c r="AR28" i="39"/>
  <c r="Z28" i="39"/>
  <c r="AA28" i="39"/>
  <c r="AB28" i="39"/>
  <c r="AC28" i="39"/>
  <c r="AE28" i="39"/>
  <c r="AF28" i="39"/>
  <c r="AG28" i="39"/>
  <c r="AH28" i="39"/>
  <c r="P28" i="39"/>
  <c r="Q28" i="39"/>
  <c r="R28" i="39"/>
  <c r="S28" i="39"/>
  <c r="U28" i="39"/>
  <c r="V28" i="39"/>
  <c r="W28" i="39"/>
  <c r="X28" i="39"/>
  <c r="T29" i="39"/>
  <c r="T13" i="39"/>
  <c r="AD10" i="39"/>
  <c r="AN7" i="39"/>
  <c r="F20" i="39"/>
  <c r="G29" i="39"/>
  <c r="F29" i="39"/>
  <c r="G28" i="39"/>
  <c r="F28" i="39"/>
  <c r="G10" i="36"/>
  <c r="J8" i="41"/>
  <c r="K8" i="41"/>
  <c r="L8" i="41"/>
  <c r="M8" i="41"/>
  <c r="Z15" i="41"/>
  <c r="P20" i="39"/>
  <c r="AT20" i="39"/>
  <c r="Q9" i="39"/>
  <c r="R9" i="39"/>
  <c r="W9" i="39"/>
  <c r="B5" i="36"/>
  <c r="B6" i="36"/>
  <c r="B2" i="36"/>
  <c r="D62" i="21"/>
  <c r="D61" i="21"/>
  <c r="D60" i="21"/>
  <c r="D59" i="21"/>
  <c r="D58" i="21"/>
  <c r="D57" i="21"/>
  <c r="D56" i="21"/>
  <c r="D55" i="21"/>
  <c r="D54" i="21"/>
  <c r="D53" i="21"/>
  <c r="D52" i="21"/>
  <c r="D50" i="21"/>
  <c r="D49" i="21"/>
  <c r="D48" i="21"/>
  <c r="B18" i="38"/>
  <c r="B15" i="38"/>
  <c r="B13" i="38"/>
  <c r="B10" i="38"/>
  <c r="B7" i="38"/>
  <c r="C60" i="21"/>
  <c r="W20" i="41"/>
  <c r="C57" i="21"/>
  <c r="W19" i="41"/>
  <c r="C55" i="21"/>
  <c r="W18" i="41"/>
  <c r="C52" i="21"/>
  <c r="W17" i="41"/>
  <c r="C48" i="21"/>
  <c r="W16" i="41"/>
  <c r="D29" i="21"/>
  <c r="D27" i="21"/>
  <c r="D26" i="21"/>
  <c r="D22" i="21"/>
  <c r="D21" i="21"/>
  <c r="D19" i="21"/>
  <c r="D18" i="21"/>
  <c r="D17" i="21"/>
  <c r="D13" i="21"/>
  <c r="D12" i="21"/>
  <c r="D11" i="21"/>
  <c r="D10" i="21"/>
  <c r="D9" i="21"/>
  <c r="D8" i="21"/>
  <c r="B19" i="37"/>
  <c r="B18" i="37"/>
  <c r="B14" i="37"/>
  <c r="B7" i="37"/>
  <c r="C27" i="21"/>
  <c r="C26" i="21"/>
  <c r="C18" i="21"/>
  <c r="C14" i="21"/>
  <c r="C12" i="21"/>
  <c r="C8" i="21"/>
  <c r="D65" i="21"/>
  <c r="D64" i="21"/>
  <c r="D45" i="21"/>
  <c r="D44" i="21"/>
  <c r="D42" i="21"/>
  <c r="D40" i="21"/>
  <c r="D39" i="21"/>
  <c r="D38" i="21"/>
  <c r="D37" i="21"/>
  <c r="C64" i="21"/>
  <c r="W15" i="41"/>
  <c r="C44" i="21"/>
  <c r="W14" i="41"/>
  <c r="C42" i="21"/>
  <c r="W13" i="41"/>
  <c r="C40" i="21"/>
  <c r="W12" i="41"/>
  <c r="C39" i="21"/>
  <c r="W11" i="41"/>
  <c r="C38" i="21"/>
  <c r="W10" i="41"/>
  <c r="C37" i="21"/>
  <c r="W9" i="41"/>
  <c r="B12" i="35"/>
  <c r="B11" i="35"/>
  <c r="B10" i="35"/>
  <c r="B9" i="35"/>
  <c r="B8" i="35"/>
  <c r="B7" i="35"/>
  <c r="F4" i="21"/>
  <c r="AJ58" i="32"/>
  <c r="B48" i="21"/>
  <c r="B37" i="21"/>
  <c r="B8" i="21"/>
  <c r="V3" i="21"/>
  <c r="N3" i="21"/>
  <c r="F3" i="21"/>
  <c r="R2" i="21"/>
  <c r="J2" i="21"/>
  <c r="B2" i="21"/>
  <c r="R34" i="21"/>
  <c r="B34" i="21"/>
  <c r="X47" i="21"/>
  <c r="W47" i="21"/>
  <c r="V47" i="21"/>
  <c r="U47" i="21"/>
  <c r="T47" i="21"/>
  <c r="R47" i="21"/>
  <c r="H47" i="21"/>
  <c r="G47" i="21"/>
  <c r="F47" i="21"/>
  <c r="E47" i="21"/>
  <c r="D47" i="21"/>
  <c r="B47" i="21"/>
  <c r="X36" i="21"/>
  <c r="W36" i="21"/>
  <c r="V36" i="21"/>
  <c r="U36" i="21"/>
  <c r="T36" i="21"/>
  <c r="R36" i="21"/>
  <c r="H36" i="21"/>
  <c r="G36" i="21"/>
  <c r="F36" i="21"/>
  <c r="E36" i="21"/>
  <c r="D36" i="21"/>
  <c r="B36" i="21"/>
  <c r="B3" i="38"/>
  <c r="B2" i="38"/>
  <c r="B3" i="37"/>
  <c r="B2" i="37"/>
  <c r="K2" i="38"/>
  <c r="K2" i="37"/>
  <c r="R6" i="21"/>
  <c r="X7" i="21"/>
  <c r="H7" i="21"/>
  <c r="J6" i="38"/>
  <c r="H6" i="38"/>
  <c r="W7" i="21"/>
  <c r="V7" i="21"/>
  <c r="U7" i="21"/>
  <c r="T7" i="21"/>
  <c r="R7" i="21"/>
  <c r="U3" i="21"/>
  <c r="T3" i="21"/>
  <c r="R3" i="21"/>
  <c r="G7" i="21"/>
  <c r="G6" i="38"/>
  <c r="F7" i="21"/>
  <c r="F6" i="38"/>
  <c r="E7" i="21"/>
  <c r="E6" i="38"/>
  <c r="D7" i="21"/>
  <c r="D6" i="38"/>
  <c r="B7" i="21"/>
  <c r="B6" i="38"/>
  <c r="M4" i="38"/>
  <c r="M4" i="37"/>
  <c r="B6" i="21"/>
  <c r="B5" i="38"/>
  <c r="B5" i="37"/>
  <c r="J5" i="38"/>
  <c r="J5" i="37"/>
  <c r="J2" i="38"/>
  <c r="J2" i="37"/>
  <c r="M3" i="38"/>
  <c r="M3" i="37"/>
  <c r="M3" i="21"/>
  <c r="E3" i="21"/>
  <c r="L3" i="38"/>
  <c r="L3" i="37"/>
  <c r="K3" i="38"/>
  <c r="K3" i="37"/>
  <c r="J3" i="21"/>
  <c r="B3" i="21"/>
  <c r="J3" i="38"/>
  <c r="J3" i="37"/>
  <c r="B4" i="38"/>
  <c r="B4" i="37"/>
  <c r="B4" i="35"/>
  <c r="D6" i="37"/>
  <c r="B6" i="37"/>
  <c r="E6" i="37"/>
  <c r="F6" i="37"/>
  <c r="G6" i="37"/>
  <c r="H6" i="37"/>
  <c r="J6" i="37"/>
  <c r="J6" i="35"/>
  <c r="H6" i="35"/>
  <c r="G6" i="35"/>
  <c r="F6" i="35"/>
  <c r="E6" i="35"/>
  <c r="D6" i="35"/>
  <c r="B6" i="35"/>
  <c r="J5" i="35"/>
  <c r="B5" i="35"/>
  <c r="B3" i="35"/>
  <c r="M4" i="35"/>
  <c r="M3" i="35"/>
  <c r="L3" i="35"/>
  <c r="K3" i="35"/>
  <c r="J3" i="35"/>
  <c r="K2" i="35"/>
  <c r="B4" i="36"/>
  <c r="G9" i="36"/>
  <c r="G8" i="36"/>
  <c r="G7" i="36"/>
  <c r="G6" i="36"/>
  <c r="G4" i="36"/>
  <c r="B17" i="36"/>
  <c r="B9" i="36"/>
  <c r="B8" i="36"/>
  <c r="D5" i="36"/>
  <c r="D6" i="36"/>
  <c r="D9" i="36"/>
  <c r="B2" i="35"/>
  <c r="J2" i="35"/>
  <c r="D7" i="36"/>
  <c r="K7" i="32"/>
  <c r="AK36" i="32"/>
  <c r="E9" i="9"/>
  <c r="AW36" i="32"/>
  <c r="E33" i="9"/>
  <c r="K13" i="32"/>
  <c r="E20" i="9"/>
  <c r="AQ32" i="32"/>
  <c r="O7" i="32"/>
  <c r="E10" i="9"/>
  <c r="AK37" i="32"/>
  <c r="AW37" i="32"/>
  <c r="E34" i="9"/>
  <c r="G13" i="32"/>
  <c r="E19" i="9"/>
  <c r="AQ31" i="32"/>
  <c r="AW38" i="32"/>
  <c r="E35" i="9"/>
  <c r="W13" i="32"/>
  <c r="E23" i="9"/>
  <c r="AQ35" i="32"/>
  <c r="C9" i="32"/>
  <c r="E5" i="9"/>
  <c r="AK32" i="32"/>
  <c r="O10" i="32"/>
  <c r="E13" i="9"/>
  <c r="AK40" i="32"/>
  <c r="E29" i="9"/>
  <c r="AW32" i="32"/>
  <c r="E37" i="9"/>
  <c r="AW40" i="32"/>
  <c r="C7" i="32"/>
  <c r="AK30" i="32"/>
  <c r="E3" i="9"/>
  <c r="E22" i="9"/>
  <c r="AQ34" i="32"/>
  <c r="C8" i="32"/>
  <c r="E4" i="9"/>
  <c r="AK31" i="32"/>
  <c r="E12" i="9"/>
  <c r="AK39" i="32"/>
  <c r="AW31" i="32"/>
  <c r="E28" i="9"/>
  <c r="AW39" i="32"/>
  <c r="E36" i="9"/>
  <c r="E24" i="9"/>
  <c r="AQ36" i="32"/>
  <c r="C10" i="32"/>
  <c r="E6" i="9"/>
  <c r="AK33" i="32"/>
  <c r="S7" i="32"/>
  <c r="E14" i="9"/>
  <c r="AK41" i="32"/>
  <c r="E30" i="9"/>
  <c r="AW33" i="32"/>
  <c r="AW41" i="32"/>
  <c r="E38" i="9"/>
  <c r="AQ33" i="32"/>
  <c r="E21" i="9"/>
  <c r="O8" i="32"/>
  <c r="E11" i="9"/>
  <c r="AK38" i="32"/>
  <c r="AW30" i="32"/>
  <c r="E27" i="9"/>
  <c r="E25" i="9"/>
  <c r="AQ37" i="32"/>
  <c r="AA13" i="32"/>
  <c r="G7" i="32"/>
  <c r="E7" i="9"/>
  <c r="AK34" i="32"/>
  <c r="W7" i="32"/>
  <c r="E15" i="9"/>
  <c r="AK42" i="32"/>
  <c r="E31" i="9"/>
  <c r="AW34" i="32"/>
  <c r="E39" i="9"/>
  <c r="AW42" i="32"/>
  <c r="C13" i="32"/>
  <c r="E18" i="9"/>
  <c r="AQ30" i="32"/>
  <c r="F53" i="26"/>
  <c r="E26" i="9"/>
  <c r="AQ38" i="32"/>
  <c r="AA14" i="32"/>
  <c r="G8" i="32"/>
  <c r="E8" i="9"/>
  <c r="AK35" i="32"/>
  <c r="W8" i="32"/>
  <c r="E16" i="9"/>
  <c r="AK43" i="32"/>
  <c r="E32" i="9"/>
  <c r="AW35" i="32"/>
  <c r="E40" i="9"/>
  <c r="AW43" i="32"/>
  <c r="L21" i="21"/>
  <c r="O9" i="32"/>
  <c r="F4" i="26"/>
  <c r="D4" i="26"/>
  <c r="F51" i="26"/>
  <c r="D52" i="26"/>
  <c r="B25" i="9"/>
  <c r="F52" i="26"/>
  <c r="B9" i="9"/>
  <c r="D35" i="26"/>
  <c r="D40" i="26"/>
  <c r="W7" i="41"/>
  <c r="D36" i="26"/>
  <c r="W6" i="41"/>
  <c r="D41" i="26"/>
  <c r="W8" i="41"/>
  <c r="D29" i="26"/>
  <c r="W3" i="41"/>
  <c r="D33" i="26"/>
  <c r="W4" i="41"/>
  <c r="W5" i="41"/>
  <c r="N29" i="39"/>
  <c r="M29" i="39"/>
  <c r="L29" i="39"/>
  <c r="K29" i="39"/>
  <c r="I29" i="39"/>
  <c r="H29" i="39"/>
  <c r="N28" i="39"/>
  <c r="M28" i="39"/>
  <c r="L28" i="39"/>
  <c r="K28" i="39"/>
  <c r="I28" i="39"/>
  <c r="H28" i="39"/>
  <c r="D20" i="38"/>
  <c r="D19" i="38"/>
  <c r="D18" i="38"/>
  <c r="D17" i="38"/>
  <c r="D16" i="38"/>
  <c r="D14" i="38"/>
  <c r="D13" i="38"/>
  <c r="D12" i="38"/>
  <c r="D11" i="38"/>
  <c r="D10" i="38"/>
  <c r="D9" i="38"/>
  <c r="D8" i="38"/>
  <c r="D7" i="38"/>
  <c r="D15" i="35"/>
  <c r="D14" i="35"/>
  <c r="D13" i="35"/>
  <c r="D12" i="35"/>
  <c r="D11" i="35"/>
  <c r="D10" i="35"/>
  <c r="D9" i="35"/>
  <c r="D8" i="35"/>
  <c r="D7" i="35"/>
  <c r="D21" i="37"/>
  <c r="F43" i="26"/>
  <c r="D20" i="37"/>
  <c r="F42" i="26"/>
  <c r="D19" i="37"/>
  <c r="F41" i="26"/>
  <c r="D18" i="37"/>
  <c r="F40" i="26"/>
  <c r="D17" i="37"/>
  <c r="F39" i="26"/>
  <c r="D16" i="37"/>
  <c r="F38" i="26"/>
  <c r="D15" i="37"/>
  <c r="F37" i="26"/>
  <c r="D14" i="37"/>
  <c r="F36" i="26"/>
  <c r="D13" i="37"/>
  <c r="F35" i="26"/>
  <c r="D12" i="37"/>
  <c r="F34" i="26"/>
  <c r="D11" i="37"/>
  <c r="F33" i="26"/>
  <c r="D10" i="37"/>
  <c r="F32" i="26"/>
  <c r="D9" i="37"/>
  <c r="F31" i="26"/>
  <c r="D8" i="37"/>
  <c r="F30" i="26"/>
  <c r="D7" i="37"/>
  <c r="F29" i="26"/>
  <c r="H16" i="21"/>
  <c r="G16" i="21"/>
  <c r="F16" i="21"/>
  <c r="E16" i="21"/>
  <c r="H15" i="21"/>
  <c r="G15" i="21"/>
  <c r="F15" i="21"/>
  <c r="E15" i="21"/>
  <c r="H14" i="21"/>
  <c r="G14" i="21"/>
  <c r="F14" i="21"/>
  <c r="E14" i="21"/>
  <c r="DA43" i="39"/>
  <c r="CZ43" i="39"/>
  <c r="CY43" i="39"/>
  <c r="CX43" i="39"/>
  <c r="CW43" i="39"/>
  <c r="CV43" i="39"/>
  <c r="CU43" i="39"/>
  <c r="CT43" i="39"/>
  <c r="CS43" i="39"/>
  <c r="DA42" i="39"/>
  <c r="CZ42" i="39"/>
  <c r="CY42" i="39"/>
  <c r="CX42" i="39"/>
  <c r="CW42" i="39"/>
  <c r="CV42" i="39"/>
  <c r="CU42" i="39"/>
  <c r="CT42" i="39"/>
  <c r="CS42" i="39"/>
  <c r="DA41" i="39"/>
  <c r="CZ41" i="39"/>
  <c r="CY41" i="39"/>
  <c r="CX41" i="39"/>
  <c r="CW41" i="39"/>
  <c r="CV41" i="39"/>
  <c r="CU41" i="39"/>
  <c r="CT41" i="39"/>
  <c r="CS41" i="39"/>
  <c r="DA40" i="39"/>
  <c r="CZ40" i="39"/>
  <c r="CY40" i="39"/>
  <c r="CX40" i="39"/>
  <c r="CW40" i="39"/>
  <c r="CV40" i="39"/>
  <c r="CU40" i="39"/>
  <c r="CT40" i="39"/>
  <c r="CS40" i="39"/>
  <c r="DA39" i="39"/>
  <c r="CZ39" i="39"/>
  <c r="CY39" i="39"/>
  <c r="CX39" i="39"/>
  <c r="CW39" i="39"/>
  <c r="CV39" i="39"/>
  <c r="CU39" i="39"/>
  <c r="CT39" i="39"/>
  <c r="CS39" i="39"/>
  <c r="DA38" i="39"/>
  <c r="CZ38" i="39"/>
  <c r="CY38" i="39"/>
  <c r="CX38" i="39"/>
  <c r="CW38" i="39"/>
  <c r="CV38" i="39"/>
  <c r="CU38" i="39"/>
  <c r="CT38" i="39"/>
  <c r="CS38" i="39"/>
  <c r="DA37" i="39"/>
  <c r="CZ37" i="39"/>
  <c r="CY37" i="39"/>
  <c r="CX37" i="39"/>
  <c r="CW37" i="39"/>
  <c r="CV37" i="39"/>
  <c r="CU37" i="39"/>
  <c r="CT37" i="39"/>
  <c r="CS37" i="39"/>
  <c r="DA36" i="39"/>
  <c r="CZ36" i="39"/>
  <c r="CY36" i="39"/>
  <c r="CX36" i="39"/>
  <c r="CW36" i="39"/>
  <c r="CV36" i="39"/>
  <c r="CU36" i="39"/>
  <c r="CT36" i="39"/>
  <c r="CS36" i="39"/>
  <c r="DA35" i="39"/>
  <c r="CZ35" i="39"/>
  <c r="CY35" i="39"/>
  <c r="CX35" i="39"/>
  <c r="CW35" i="39"/>
  <c r="CV35" i="39"/>
  <c r="CU35" i="39"/>
  <c r="CT35" i="39"/>
  <c r="CS35" i="39"/>
  <c r="DA34" i="39"/>
  <c r="CZ34" i="39"/>
  <c r="CY34" i="39"/>
  <c r="CX34" i="39"/>
  <c r="CW34" i="39"/>
  <c r="CV34" i="39"/>
  <c r="CU34" i="39"/>
  <c r="CT34" i="39"/>
  <c r="CS34" i="39"/>
  <c r="DA33" i="39"/>
  <c r="CZ33" i="39"/>
  <c r="CY33" i="39"/>
  <c r="CX33" i="39"/>
  <c r="CW33" i="39"/>
  <c r="CV33" i="39"/>
  <c r="CU33" i="39"/>
  <c r="CT33" i="39"/>
  <c r="CS33" i="39"/>
  <c r="DA32" i="39"/>
  <c r="CZ32" i="39"/>
  <c r="CY32" i="39"/>
  <c r="CX32" i="39"/>
  <c r="CW32" i="39"/>
  <c r="CV32" i="39"/>
  <c r="CU32" i="39"/>
  <c r="CT32" i="39"/>
  <c r="CS32" i="39"/>
  <c r="DA31" i="39"/>
  <c r="CZ31" i="39"/>
  <c r="CY31" i="39"/>
  <c r="CX31" i="39"/>
  <c r="CW31" i="39"/>
  <c r="CV31" i="39"/>
  <c r="CU31" i="39"/>
  <c r="CT31" i="39"/>
  <c r="CS31" i="39"/>
  <c r="DA30" i="39"/>
  <c r="CZ30" i="39"/>
  <c r="CY30" i="39"/>
  <c r="CX30" i="39"/>
  <c r="CW30" i="39"/>
  <c r="CV30" i="39"/>
  <c r="CU30" i="39"/>
  <c r="CT30" i="39"/>
  <c r="CS30" i="39"/>
  <c r="DA27" i="39"/>
  <c r="CZ27" i="39"/>
  <c r="CY27" i="39"/>
  <c r="CX27" i="39"/>
  <c r="CW27" i="39"/>
  <c r="CV27" i="39"/>
  <c r="CU27" i="39"/>
  <c r="CT27" i="39"/>
  <c r="CS27" i="39"/>
  <c r="DA26" i="39"/>
  <c r="CZ26" i="39"/>
  <c r="CY26" i="39"/>
  <c r="CX26" i="39"/>
  <c r="CW26" i="39"/>
  <c r="CV26" i="39"/>
  <c r="CU26" i="39"/>
  <c r="CT26" i="39"/>
  <c r="CS26" i="39"/>
  <c r="DA25" i="39"/>
  <c r="CZ25" i="39"/>
  <c r="CY25" i="39"/>
  <c r="CX25" i="39"/>
  <c r="CW25" i="39"/>
  <c r="CV25" i="39"/>
  <c r="CU25" i="39"/>
  <c r="CT25" i="39"/>
  <c r="CS25" i="39"/>
  <c r="DA24" i="39"/>
  <c r="CZ24" i="39"/>
  <c r="CY24" i="39"/>
  <c r="CX24" i="39"/>
  <c r="CV24" i="39"/>
  <c r="CU24" i="39"/>
  <c r="CT24" i="39"/>
  <c r="CS24" i="39"/>
  <c r="DA23" i="39"/>
  <c r="CZ23" i="39"/>
  <c r="CY23" i="39"/>
  <c r="CX23" i="39"/>
  <c r="CW23" i="39"/>
  <c r="CV23" i="39"/>
  <c r="CU23" i="39"/>
  <c r="CT23" i="39"/>
  <c r="CS23" i="39"/>
  <c r="DA22" i="39"/>
  <c r="CZ22" i="39"/>
  <c r="CY22" i="39"/>
  <c r="CX22" i="39"/>
  <c r="CW22" i="39"/>
  <c r="CV22" i="39"/>
  <c r="CU22" i="39"/>
  <c r="CT22" i="39"/>
  <c r="CS22" i="39"/>
  <c r="DA21" i="39"/>
  <c r="CZ21" i="39"/>
  <c r="CY21" i="39"/>
  <c r="CX21" i="39"/>
  <c r="CW21" i="39"/>
  <c r="CV21" i="39"/>
  <c r="CU21" i="39"/>
  <c r="CT21" i="39"/>
  <c r="CS21" i="39"/>
  <c r="DA20" i="39"/>
  <c r="CZ20" i="39"/>
  <c r="CY20" i="39"/>
  <c r="CX20" i="39"/>
  <c r="CW20" i="39"/>
  <c r="CV20" i="39"/>
  <c r="CS20" i="39"/>
  <c r="DA19" i="39"/>
  <c r="CZ19" i="39"/>
  <c r="CY19" i="39"/>
  <c r="CX19" i="39"/>
  <c r="CW19" i="39"/>
  <c r="CV19" i="39"/>
  <c r="CU19" i="39"/>
  <c r="CT19" i="39"/>
  <c r="CS19" i="39"/>
  <c r="DA18" i="39"/>
  <c r="CZ18" i="39"/>
  <c r="CY18" i="39"/>
  <c r="CX18" i="39"/>
  <c r="CW18" i="39"/>
  <c r="CV18" i="39"/>
  <c r="CU18" i="39"/>
  <c r="CT18" i="39"/>
  <c r="CS18" i="39"/>
  <c r="DA17" i="39"/>
  <c r="CZ17" i="39"/>
  <c r="CY17" i="39"/>
  <c r="CX17" i="39"/>
  <c r="CW17" i="39"/>
  <c r="CV17" i="39"/>
  <c r="CU17" i="39"/>
  <c r="CT17" i="39"/>
  <c r="CS17" i="39"/>
  <c r="DA16" i="39"/>
  <c r="CZ16" i="39"/>
  <c r="CY16" i="39"/>
  <c r="CX16" i="39"/>
  <c r="CW16" i="39"/>
  <c r="CV16" i="39"/>
  <c r="CU16" i="39"/>
  <c r="CT16" i="39"/>
  <c r="CS16" i="39"/>
  <c r="DA15" i="39"/>
  <c r="CZ15" i="39"/>
  <c r="CY15" i="39"/>
  <c r="CX15" i="39"/>
  <c r="CW15" i="39"/>
  <c r="CV15" i="39"/>
  <c r="CU15" i="39"/>
  <c r="CT15" i="39"/>
  <c r="CS15" i="39"/>
  <c r="DA14" i="39"/>
  <c r="CZ14" i="39"/>
  <c r="CY14" i="39"/>
  <c r="CX14" i="39"/>
  <c r="CW14" i="39"/>
  <c r="CV14" i="39"/>
  <c r="CU14" i="39"/>
  <c r="CT14" i="39"/>
  <c r="CS14" i="39"/>
  <c r="DA13" i="39"/>
  <c r="CZ13" i="39"/>
  <c r="CY13" i="39"/>
  <c r="CX13" i="39"/>
  <c r="CW13" i="39"/>
  <c r="CV13" i="39"/>
  <c r="CU13" i="39"/>
  <c r="CT13" i="39"/>
  <c r="CS13" i="39"/>
  <c r="DA12" i="39"/>
  <c r="CZ12" i="39"/>
  <c r="CY12" i="39"/>
  <c r="CX12" i="39"/>
  <c r="CW12" i="39"/>
  <c r="CV12" i="39"/>
  <c r="CU12" i="39"/>
  <c r="CT12" i="39"/>
  <c r="CS12" i="39"/>
  <c r="DA11" i="39"/>
  <c r="CZ11" i="39"/>
  <c r="CY11" i="39"/>
  <c r="CX11" i="39"/>
  <c r="CW11" i="39"/>
  <c r="CV11" i="39"/>
  <c r="CU11" i="39"/>
  <c r="CT11" i="39"/>
  <c r="CS11" i="39"/>
  <c r="DA10" i="39"/>
  <c r="CZ10" i="39"/>
  <c r="CY10" i="39"/>
  <c r="CX10" i="39"/>
  <c r="CW10" i="39"/>
  <c r="CV10" i="39"/>
  <c r="CU10" i="39"/>
  <c r="CT10" i="39"/>
  <c r="CS10" i="39"/>
  <c r="DA9" i="39"/>
  <c r="CZ9" i="39"/>
  <c r="CY9" i="39"/>
  <c r="CX9" i="39"/>
  <c r="CW9" i="39"/>
  <c r="CV9" i="39"/>
  <c r="CU9" i="39"/>
  <c r="CT9" i="39"/>
  <c r="CS9" i="39"/>
  <c r="DA8" i="39"/>
  <c r="CZ8" i="39"/>
  <c r="CY8" i="39"/>
  <c r="CX8" i="39"/>
  <c r="CW8" i="39"/>
  <c r="CV8" i="39"/>
  <c r="CU8" i="39"/>
  <c r="CT8" i="39"/>
  <c r="CS8" i="39"/>
  <c r="DA7" i="39"/>
  <c r="CZ7" i="39"/>
  <c r="CY7" i="39"/>
  <c r="CX7" i="39"/>
  <c r="CW7" i="39"/>
  <c r="CV7" i="39"/>
  <c r="CU7" i="39"/>
  <c r="CT7" i="39"/>
  <c r="CS7" i="39"/>
  <c r="DA6" i="39"/>
  <c r="CZ6" i="39"/>
  <c r="CY6" i="39"/>
  <c r="CX6" i="39"/>
  <c r="CW6" i="39"/>
  <c r="CV6" i="39"/>
  <c r="CU6" i="39"/>
  <c r="CT6" i="39"/>
  <c r="CS6" i="39"/>
  <c r="CQ43" i="39"/>
  <c r="CP43" i="39"/>
  <c r="CO43" i="39"/>
  <c r="CN43" i="39"/>
  <c r="CM43" i="39"/>
  <c r="CL43" i="39"/>
  <c r="CK43" i="39"/>
  <c r="CJ43" i="39"/>
  <c r="CI43" i="39"/>
  <c r="CQ42" i="39"/>
  <c r="CP42" i="39"/>
  <c r="CO42" i="39"/>
  <c r="CN42" i="39"/>
  <c r="CM42" i="39"/>
  <c r="CL42" i="39"/>
  <c r="CK42" i="39"/>
  <c r="CJ42" i="39"/>
  <c r="CI42" i="39"/>
  <c r="CQ41" i="39"/>
  <c r="CP41" i="39"/>
  <c r="CO41" i="39"/>
  <c r="CN41" i="39"/>
  <c r="CM41" i="39"/>
  <c r="CL41" i="39"/>
  <c r="CK41" i="39"/>
  <c r="CJ41" i="39"/>
  <c r="CI41" i="39"/>
  <c r="CQ40" i="39"/>
  <c r="CP40" i="39"/>
  <c r="CO40" i="39"/>
  <c r="CN40" i="39"/>
  <c r="CM40" i="39"/>
  <c r="CL40" i="39"/>
  <c r="CK40" i="39"/>
  <c r="CJ40" i="39"/>
  <c r="CI40" i="39"/>
  <c r="CQ39" i="39"/>
  <c r="CP39" i="39"/>
  <c r="CO39" i="39"/>
  <c r="CN39" i="39"/>
  <c r="CM39" i="39"/>
  <c r="CL39" i="39"/>
  <c r="CK39" i="39"/>
  <c r="CJ39" i="39"/>
  <c r="CI39" i="39"/>
  <c r="CQ38" i="39"/>
  <c r="CP38" i="39"/>
  <c r="CO38" i="39"/>
  <c r="CN38" i="39"/>
  <c r="CM38" i="39"/>
  <c r="CL38" i="39"/>
  <c r="CK38" i="39"/>
  <c r="CJ38" i="39"/>
  <c r="CI38" i="39"/>
  <c r="CQ37" i="39"/>
  <c r="CP37" i="39"/>
  <c r="CO37" i="39"/>
  <c r="CN37" i="39"/>
  <c r="CM37" i="39"/>
  <c r="CL37" i="39"/>
  <c r="CK37" i="39"/>
  <c r="CJ37" i="39"/>
  <c r="CI37" i="39"/>
  <c r="CQ36" i="39"/>
  <c r="CP36" i="39"/>
  <c r="CO36" i="39"/>
  <c r="CN36" i="39"/>
  <c r="CM36" i="39"/>
  <c r="CL36" i="39"/>
  <c r="CK36" i="39"/>
  <c r="CJ36" i="39"/>
  <c r="CI36" i="39"/>
  <c r="CQ35" i="39"/>
  <c r="CP35" i="39"/>
  <c r="CO35" i="39"/>
  <c r="CN35" i="39"/>
  <c r="CM35" i="39"/>
  <c r="CL35" i="39"/>
  <c r="CK35" i="39"/>
  <c r="CJ35" i="39"/>
  <c r="CI35" i="39"/>
  <c r="CQ34" i="39"/>
  <c r="CP34" i="39"/>
  <c r="CO34" i="39"/>
  <c r="CN34" i="39"/>
  <c r="CM34" i="39"/>
  <c r="CL34" i="39"/>
  <c r="CK34" i="39"/>
  <c r="CJ34" i="39"/>
  <c r="CI34" i="39"/>
  <c r="CQ33" i="39"/>
  <c r="CP33" i="39"/>
  <c r="CO33" i="39"/>
  <c r="CN33" i="39"/>
  <c r="CM33" i="39"/>
  <c r="CL33" i="39"/>
  <c r="CK33" i="39"/>
  <c r="CJ33" i="39"/>
  <c r="CI33" i="39"/>
  <c r="CQ32" i="39"/>
  <c r="CP32" i="39"/>
  <c r="CO32" i="39"/>
  <c r="CN32" i="39"/>
  <c r="CM32" i="39"/>
  <c r="CL32" i="39"/>
  <c r="CK32" i="39"/>
  <c r="CJ32" i="39"/>
  <c r="CI32" i="39"/>
  <c r="CQ31" i="39"/>
  <c r="CP31" i="39"/>
  <c r="CO31" i="39"/>
  <c r="CN31" i="39"/>
  <c r="CM31" i="39"/>
  <c r="CL31" i="39"/>
  <c r="CK31" i="39"/>
  <c r="CJ31" i="39"/>
  <c r="CI31" i="39"/>
  <c r="CQ30" i="39"/>
  <c r="CP30" i="39"/>
  <c r="CO30" i="39"/>
  <c r="CN30" i="39"/>
  <c r="CM30" i="39"/>
  <c r="CL30" i="39"/>
  <c r="CK30" i="39"/>
  <c r="CJ30" i="39"/>
  <c r="CI30" i="39"/>
  <c r="CQ27" i="39"/>
  <c r="CP27" i="39"/>
  <c r="CO27" i="39"/>
  <c r="CN27" i="39"/>
  <c r="CM27" i="39"/>
  <c r="CL27" i="39"/>
  <c r="CK27" i="39"/>
  <c r="CJ27" i="39"/>
  <c r="CI27" i="39"/>
  <c r="CQ26" i="39"/>
  <c r="CP26" i="39"/>
  <c r="CO26" i="39"/>
  <c r="CN26" i="39"/>
  <c r="CM26" i="39"/>
  <c r="CL26" i="39"/>
  <c r="CK26" i="39"/>
  <c r="CJ26" i="39"/>
  <c r="CI26" i="39"/>
  <c r="CQ25" i="39"/>
  <c r="CP25" i="39"/>
  <c r="CO25" i="39"/>
  <c r="CN25" i="39"/>
  <c r="CM25" i="39"/>
  <c r="CL25" i="39"/>
  <c r="CK25" i="39"/>
  <c r="CJ25" i="39"/>
  <c r="CI25" i="39"/>
  <c r="CQ24" i="39"/>
  <c r="CP24" i="39"/>
  <c r="CO24" i="39"/>
  <c r="CN24" i="39"/>
  <c r="CL24" i="39"/>
  <c r="CK24" i="39"/>
  <c r="CJ24" i="39"/>
  <c r="CI24" i="39"/>
  <c r="CQ23" i="39"/>
  <c r="CP23" i="39"/>
  <c r="CO23" i="39"/>
  <c r="CN23" i="39"/>
  <c r="CM23" i="39"/>
  <c r="CL23" i="39"/>
  <c r="CK23" i="39"/>
  <c r="CJ23" i="39"/>
  <c r="CI23" i="39"/>
  <c r="CQ22" i="39"/>
  <c r="CP22" i="39"/>
  <c r="CO22" i="39"/>
  <c r="CN22" i="39"/>
  <c r="CM22" i="39"/>
  <c r="CL22" i="39"/>
  <c r="CK22" i="39"/>
  <c r="CJ22" i="39"/>
  <c r="CI22" i="39"/>
  <c r="CQ21" i="39"/>
  <c r="CP21" i="39"/>
  <c r="CO21" i="39"/>
  <c r="CN21" i="39"/>
  <c r="CL21" i="39"/>
  <c r="CK21" i="39"/>
  <c r="CJ21" i="39"/>
  <c r="CI21" i="39"/>
  <c r="CQ20" i="39"/>
  <c r="CP20" i="39"/>
  <c r="CO20" i="39"/>
  <c r="CN20" i="39"/>
  <c r="CM20" i="39"/>
  <c r="CL20" i="39"/>
  <c r="CI20" i="39"/>
  <c r="CQ19" i="39"/>
  <c r="CP19" i="39"/>
  <c r="CO19" i="39"/>
  <c r="CN19" i="39"/>
  <c r="CM19" i="39"/>
  <c r="CL19" i="39"/>
  <c r="CK19" i="39"/>
  <c r="CJ19" i="39"/>
  <c r="CI19" i="39"/>
  <c r="CQ18" i="39"/>
  <c r="CP18" i="39"/>
  <c r="CO18" i="39"/>
  <c r="CN18" i="39"/>
  <c r="CM18" i="39"/>
  <c r="CL18" i="39"/>
  <c r="CK18" i="39"/>
  <c r="CJ18" i="39"/>
  <c r="CI18" i="39"/>
  <c r="CQ17" i="39"/>
  <c r="CP17" i="39"/>
  <c r="CO17" i="39"/>
  <c r="CN17" i="39"/>
  <c r="CM17" i="39"/>
  <c r="CL17" i="39"/>
  <c r="CK17" i="39"/>
  <c r="CJ17" i="39"/>
  <c r="CI17" i="39"/>
  <c r="CQ16" i="39"/>
  <c r="CP16" i="39"/>
  <c r="CO16" i="39"/>
  <c r="CN16" i="39"/>
  <c r="CM16" i="39"/>
  <c r="CL16" i="39"/>
  <c r="CK16" i="39"/>
  <c r="CJ16" i="39"/>
  <c r="CI16" i="39"/>
  <c r="CQ15" i="39"/>
  <c r="CP15" i="39"/>
  <c r="CO15" i="39"/>
  <c r="CN15" i="39"/>
  <c r="CM15" i="39"/>
  <c r="CL15" i="39"/>
  <c r="CK15" i="39"/>
  <c r="CJ15" i="39"/>
  <c r="CI15" i="39"/>
  <c r="CQ14" i="39"/>
  <c r="CP14" i="39"/>
  <c r="CO14" i="39"/>
  <c r="CN14" i="39"/>
  <c r="CM14" i="39"/>
  <c r="CL14" i="39"/>
  <c r="CK14" i="39"/>
  <c r="CJ14" i="39"/>
  <c r="CI14" i="39"/>
  <c r="CQ13" i="39"/>
  <c r="CP13" i="39"/>
  <c r="CO13" i="39"/>
  <c r="CN13" i="39"/>
  <c r="CM13" i="39"/>
  <c r="CL13" i="39"/>
  <c r="CK13" i="39"/>
  <c r="CJ13" i="39"/>
  <c r="CI13" i="39"/>
  <c r="CQ12" i="39"/>
  <c r="CP12" i="39"/>
  <c r="CO12" i="39"/>
  <c r="CN12" i="39"/>
  <c r="CM12" i="39"/>
  <c r="CL12" i="39"/>
  <c r="CK12" i="39"/>
  <c r="CJ12" i="39"/>
  <c r="CI12" i="39"/>
  <c r="CQ11" i="39"/>
  <c r="CP11" i="39"/>
  <c r="CO11" i="39"/>
  <c r="CN11" i="39"/>
  <c r="CM11" i="39"/>
  <c r="CL11" i="39"/>
  <c r="CK11" i="39"/>
  <c r="CJ11" i="39"/>
  <c r="CI11" i="39"/>
  <c r="CQ10" i="39"/>
  <c r="CP10" i="39"/>
  <c r="CO10" i="39"/>
  <c r="CN10" i="39"/>
  <c r="CM10" i="39"/>
  <c r="CL10" i="39"/>
  <c r="CK10" i="39"/>
  <c r="CJ10" i="39"/>
  <c r="CI10" i="39"/>
  <c r="CQ9" i="39"/>
  <c r="CP9" i="39"/>
  <c r="CO9" i="39"/>
  <c r="CN9" i="39"/>
  <c r="CM9" i="39"/>
  <c r="CL9" i="39"/>
  <c r="CK9" i="39"/>
  <c r="CJ9" i="39"/>
  <c r="CI9" i="39"/>
  <c r="CQ8" i="39"/>
  <c r="CP8" i="39"/>
  <c r="CO8" i="39"/>
  <c r="CN8" i="39"/>
  <c r="CM8" i="39"/>
  <c r="CL8" i="39"/>
  <c r="CK8" i="39"/>
  <c r="CJ8" i="39"/>
  <c r="CI8" i="39"/>
  <c r="CQ7" i="39"/>
  <c r="CP7" i="39"/>
  <c r="CO7" i="39"/>
  <c r="CN7" i="39"/>
  <c r="CM7" i="39"/>
  <c r="CL7" i="39"/>
  <c r="CK7" i="39"/>
  <c r="CJ7" i="39"/>
  <c r="CI7" i="39"/>
  <c r="CQ6" i="39"/>
  <c r="CP6" i="39"/>
  <c r="CO6" i="39"/>
  <c r="CN6" i="39"/>
  <c r="CM6" i="39"/>
  <c r="CL6" i="39"/>
  <c r="CK6" i="39"/>
  <c r="CJ6" i="39"/>
  <c r="CG43" i="39"/>
  <c r="CF43" i="39"/>
  <c r="CE43" i="39"/>
  <c r="CD43" i="39"/>
  <c r="CC43" i="39"/>
  <c r="CB43" i="39"/>
  <c r="CA43" i="39"/>
  <c r="BZ43" i="39"/>
  <c r="BY43" i="39"/>
  <c r="CG42" i="39"/>
  <c r="CF42" i="39"/>
  <c r="CE42" i="39"/>
  <c r="CD42" i="39"/>
  <c r="CC42" i="39"/>
  <c r="CB42" i="39"/>
  <c r="CA42" i="39"/>
  <c r="BZ42" i="39"/>
  <c r="BY42" i="39"/>
  <c r="CG41" i="39"/>
  <c r="CF41" i="39"/>
  <c r="CE41" i="39"/>
  <c r="CD41" i="39"/>
  <c r="CC41" i="39"/>
  <c r="CB41" i="39"/>
  <c r="CA41" i="39"/>
  <c r="BZ41" i="39"/>
  <c r="BY41" i="39"/>
  <c r="CG40" i="39"/>
  <c r="CF40" i="39"/>
  <c r="CE40" i="39"/>
  <c r="CD40" i="39"/>
  <c r="CC40" i="39"/>
  <c r="CB40" i="39"/>
  <c r="CA40" i="39"/>
  <c r="BZ40" i="39"/>
  <c r="BY40" i="39"/>
  <c r="CG39" i="39"/>
  <c r="CF39" i="39"/>
  <c r="CE39" i="39"/>
  <c r="CD39" i="39"/>
  <c r="CC39" i="39"/>
  <c r="CB39" i="39"/>
  <c r="CA39" i="39"/>
  <c r="BZ39" i="39"/>
  <c r="BY39" i="39"/>
  <c r="CG38" i="39"/>
  <c r="CF38" i="39"/>
  <c r="CE38" i="39"/>
  <c r="CD38" i="39"/>
  <c r="CC38" i="39"/>
  <c r="CB38" i="39"/>
  <c r="CA38" i="39"/>
  <c r="BZ38" i="39"/>
  <c r="BY38" i="39"/>
  <c r="CG37" i="39"/>
  <c r="CF37" i="39"/>
  <c r="CE37" i="39"/>
  <c r="CD37" i="39"/>
  <c r="CC37" i="39"/>
  <c r="CB37" i="39"/>
  <c r="CA37" i="39"/>
  <c r="BZ37" i="39"/>
  <c r="BY37" i="39"/>
  <c r="CG36" i="39"/>
  <c r="CF36" i="39"/>
  <c r="CE36" i="39"/>
  <c r="CD36" i="39"/>
  <c r="CC36" i="39"/>
  <c r="CB36" i="39"/>
  <c r="CA36" i="39"/>
  <c r="BZ36" i="39"/>
  <c r="BY36" i="39"/>
  <c r="CG35" i="39"/>
  <c r="CF35" i="39"/>
  <c r="CE35" i="39"/>
  <c r="CD35" i="39"/>
  <c r="CC35" i="39"/>
  <c r="CB35" i="39"/>
  <c r="CA35" i="39"/>
  <c r="BZ35" i="39"/>
  <c r="BY35" i="39"/>
  <c r="CG34" i="39"/>
  <c r="CF34" i="39"/>
  <c r="CE34" i="39"/>
  <c r="CD34" i="39"/>
  <c r="CC34" i="39"/>
  <c r="CB34" i="39"/>
  <c r="CA34" i="39"/>
  <c r="BZ34" i="39"/>
  <c r="BY34" i="39"/>
  <c r="CG33" i="39"/>
  <c r="CF33" i="39"/>
  <c r="CE33" i="39"/>
  <c r="CD33" i="39"/>
  <c r="CC33" i="39"/>
  <c r="CB33" i="39"/>
  <c r="CA33" i="39"/>
  <c r="BZ33" i="39"/>
  <c r="BY33" i="39"/>
  <c r="CG32" i="39"/>
  <c r="CF32" i="39"/>
  <c r="CE32" i="39"/>
  <c r="CD32" i="39"/>
  <c r="CC32" i="39"/>
  <c r="CB32" i="39"/>
  <c r="CA32" i="39"/>
  <c r="BZ32" i="39"/>
  <c r="BY32" i="39"/>
  <c r="CG31" i="39"/>
  <c r="CF31" i="39"/>
  <c r="CE31" i="39"/>
  <c r="CD31" i="39"/>
  <c r="CC31" i="39"/>
  <c r="CB31" i="39"/>
  <c r="CA31" i="39"/>
  <c r="BZ31" i="39"/>
  <c r="BY31" i="39"/>
  <c r="CG30" i="39"/>
  <c r="CF30" i="39"/>
  <c r="CE30" i="39"/>
  <c r="CD30" i="39"/>
  <c r="CC30" i="39"/>
  <c r="CB30" i="39"/>
  <c r="CA30" i="39"/>
  <c r="BZ30" i="39"/>
  <c r="BY30" i="39"/>
  <c r="CG27" i="39"/>
  <c r="CF27" i="39"/>
  <c r="CE27" i="39"/>
  <c r="CD27" i="39"/>
  <c r="CC27" i="39"/>
  <c r="CB27" i="39"/>
  <c r="CA27" i="39"/>
  <c r="BZ27" i="39"/>
  <c r="BY27" i="39"/>
  <c r="CG26" i="39"/>
  <c r="CF26" i="39"/>
  <c r="CE26" i="39"/>
  <c r="CD26" i="39"/>
  <c r="CC26" i="39"/>
  <c r="CB26" i="39"/>
  <c r="CA26" i="39"/>
  <c r="BZ26" i="39"/>
  <c r="BY26" i="39"/>
  <c r="CG25" i="39"/>
  <c r="CF25" i="39"/>
  <c r="CE25" i="39"/>
  <c r="CD25" i="39"/>
  <c r="CC25" i="39"/>
  <c r="CB25" i="39"/>
  <c r="CA25" i="39"/>
  <c r="BZ25" i="39"/>
  <c r="BY25" i="39"/>
  <c r="CG24" i="39"/>
  <c r="CF24" i="39"/>
  <c r="CE24" i="39"/>
  <c r="CD24" i="39"/>
  <c r="CB24" i="39"/>
  <c r="CA24" i="39"/>
  <c r="BZ24" i="39"/>
  <c r="BY24" i="39"/>
  <c r="CG23" i="39"/>
  <c r="CF23" i="39"/>
  <c r="CE23" i="39"/>
  <c r="CD23" i="39"/>
  <c r="CC23" i="39"/>
  <c r="CB23" i="39"/>
  <c r="CA23" i="39"/>
  <c r="BZ23" i="39"/>
  <c r="BY23" i="39"/>
  <c r="CG22" i="39"/>
  <c r="CF22" i="39"/>
  <c r="CE22" i="39"/>
  <c r="CD22" i="39"/>
  <c r="CC22" i="39"/>
  <c r="CB22" i="39"/>
  <c r="CA22" i="39"/>
  <c r="BZ22" i="39"/>
  <c r="BY22" i="39"/>
  <c r="CG21" i="39"/>
  <c r="CF21" i="39"/>
  <c r="CE21" i="39"/>
  <c r="CD21" i="39"/>
  <c r="CB21" i="39"/>
  <c r="CA21" i="39"/>
  <c r="BZ21" i="39"/>
  <c r="BY21" i="39"/>
  <c r="CG20" i="39"/>
  <c r="CF20" i="39"/>
  <c r="CE20" i="39"/>
  <c r="CD20" i="39"/>
  <c r="CC20" i="39"/>
  <c r="CB20" i="39"/>
  <c r="BY20" i="39"/>
  <c r="CG19" i="39"/>
  <c r="CF19" i="39"/>
  <c r="CE19" i="39"/>
  <c r="CD19" i="39"/>
  <c r="CC19" i="39"/>
  <c r="CB19" i="39"/>
  <c r="CA19" i="39"/>
  <c r="BZ19" i="39"/>
  <c r="BY19" i="39"/>
  <c r="CG18" i="39"/>
  <c r="CF18" i="39"/>
  <c r="CE18" i="39"/>
  <c r="CD18" i="39"/>
  <c r="CC18" i="39"/>
  <c r="CB18" i="39"/>
  <c r="CA18" i="39"/>
  <c r="BZ18" i="39"/>
  <c r="BY18" i="39"/>
  <c r="CG17" i="39"/>
  <c r="CF17" i="39"/>
  <c r="CE17" i="39"/>
  <c r="CD17" i="39"/>
  <c r="CC17" i="39"/>
  <c r="CB17" i="39"/>
  <c r="CA17" i="39"/>
  <c r="BZ17" i="39"/>
  <c r="BY17" i="39"/>
  <c r="CG16" i="39"/>
  <c r="CF16" i="39"/>
  <c r="CE16" i="39"/>
  <c r="CD16" i="39"/>
  <c r="CC16" i="39"/>
  <c r="CB16" i="39"/>
  <c r="CA16" i="39"/>
  <c r="BZ16" i="39"/>
  <c r="BY16" i="39"/>
  <c r="CG15" i="39"/>
  <c r="CF15" i="39"/>
  <c r="CE15" i="39"/>
  <c r="CD15" i="39"/>
  <c r="CC15" i="39"/>
  <c r="CB15" i="39"/>
  <c r="CA15" i="39"/>
  <c r="BZ15" i="39"/>
  <c r="BY15" i="39"/>
  <c r="CG14" i="39"/>
  <c r="CF14" i="39"/>
  <c r="CE14" i="39"/>
  <c r="CD14" i="39"/>
  <c r="CC14" i="39"/>
  <c r="CB14" i="39"/>
  <c r="CA14" i="39"/>
  <c r="BZ14" i="39"/>
  <c r="BY14" i="39"/>
  <c r="CG13" i="39"/>
  <c r="CF13" i="39"/>
  <c r="CE13" i="39"/>
  <c r="CD13" i="39"/>
  <c r="CC13" i="39"/>
  <c r="CB13" i="39"/>
  <c r="CA13" i="39"/>
  <c r="BZ13" i="39"/>
  <c r="BY13" i="39"/>
  <c r="CG12" i="39"/>
  <c r="CF12" i="39"/>
  <c r="CE12" i="39"/>
  <c r="CD12" i="39"/>
  <c r="CC12" i="39"/>
  <c r="CB12" i="39"/>
  <c r="CA12" i="39"/>
  <c r="BZ12" i="39"/>
  <c r="BY12" i="39"/>
  <c r="CG11" i="39"/>
  <c r="CF11" i="39"/>
  <c r="CE11" i="39"/>
  <c r="CD11" i="39"/>
  <c r="CC11" i="39"/>
  <c r="CB11" i="39"/>
  <c r="CA11" i="39"/>
  <c r="BZ11" i="39"/>
  <c r="BY11" i="39"/>
  <c r="CG10" i="39"/>
  <c r="CF10" i="39"/>
  <c r="CE10" i="39"/>
  <c r="CD10" i="39"/>
  <c r="CC10" i="39"/>
  <c r="CB10" i="39"/>
  <c r="CA10" i="39"/>
  <c r="BZ10" i="39"/>
  <c r="BY10" i="39"/>
  <c r="CG9" i="39"/>
  <c r="CF9" i="39"/>
  <c r="CE9" i="39"/>
  <c r="CD9" i="39"/>
  <c r="CC9" i="39"/>
  <c r="CB9" i="39"/>
  <c r="CA9" i="39"/>
  <c r="BZ9" i="39"/>
  <c r="CG8" i="39"/>
  <c r="CF8" i="39"/>
  <c r="CE8" i="39"/>
  <c r="CD8" i="39"/>
  <c r="CC8" i="39"/>
  <c r="CB8" i="39"/>
  <c r="CA8" i="39"/>
  <c r="BZ8" i="39"/>
  <c r="BY8" i="39"/>
  <c r="CG7" i="39"/>
  <c r="CF7" i="39"/>
  <c r="CE7" i="39"/>
  <c r="CD7" i="39"/>
  <c r="CB7" i="39"/>
  <c r="CG6" i="39"/>
  <c r="CF6" i="39"/>
  <c r="CE6" i="39"/>
  <c r="CD6" i="39"/>
  <c r="CC6" i="39"/>
  <c r="CB6" i="39"/>
  <c r="CA6" i="39"/>
  <c r="BZ6" i="39"/>
  <c r="BY6" i="39"/>
  <c r="BW43" i="39"/>
  <c r="BV43" i="39"/>
  <c r="BU43" i="39"/>
  <c r="BT43" i="39"/>
  <c r="BS43" i="39"/>
  <c r="BR43" i="39"/>
  <c r="BQ43" i="39"/>
  <c r="BP43" i="39"/>
  <c r="BO43" i="39"/>
  <c r="BW42" i="39"/>
  <c r="BV42" i="39"/>
  <c r="BU42" i="39"/>
  <c r="BT42" i="39"/>
  <c r="BS42" i="39"/>
  <c r="BR42" i="39"/>
  <c r="BQ42" i="39"/>
  <c r="BP42" i="39"/>
  <c r="BO42" i="39"/>
  <c r="BW41" i="39"/>
  <c r="BV41" i="39"/>
  <c r="BU41" i="39"/>
  <c r="BT41" i="39"/>
  <c r="BS41" i="39"/>
  <c r="BR41" i="39"/>
  <c r="BQ41" i="39"/>
  <c r="BP41" i="39"/>
  <c r="BO41" i="39"/>
  <c r="BW40" i="39"/>
  <c r="BV40" i="39"/>
  <c r="BU40" i="39"/>
  <c r="BT40" i="39"/>
  <c r="BS40" i="39"/>
  <c r="BR40" i="39"/>
  <c r="BQ40" i="39"/>
  <c r="BP40" i="39"/>
  <c r="BO40" i="39"/>
  <c r="BW39" i="39"/>
  <c r="BV39" i="39"/>
  <c r="BU39" i="39"/>
  <c r="BT39" i="39"/>
  <c r="BS39" i="39"/>
  <c r="BR39" i="39"/>
  <c r="BQ39" i="39"/>
  <c r="BP39" i="39"/>
  <c r="BO39" i="39"/>
  <c r="BW38" i="39"/>
  <c r="BV38" i="39"/>
  <c r="BU38" i="39"/>
  <c r="BT38" i="39"/>
  <c r="BS38" i="39"/>
  <c r="BR38" i="39"/>
  <c r="BQ38" i="39"/>
  <c r="BP38" i="39"/>
  <c r="BO38" i="39"/>
  <c r="BW37" i="39"/>
  <c r="BV37" i="39"/>
  <c r="BU37" i="39"/>
  <c r="BT37" i="39"/>
  <c r="BS37" i="39"/>
  <c r="BR37" i="39"/>
  <c r="BQ37" i="39"/>
  <c r="BP37" i="39"/>
  <c r="BO37" i="39"/>
  <c r="BW36" i="39"/>
  <c r="BV36" i="39"/>
  <c r="BU36" i="39"/>
  <c r="BT36" i="39"/>
  <c r="BS36" i="39"/>
  <c r="BR36" i="39"/>
  <c r="BQ36" i="39"/>
  <c r="BP36" i="39"/>
  <c r="BO36" i="39"/>
  <c r="BW35" i="39"/>
  <c r="BV35" i="39"/>
  <c r="BU35" i="39"/>
  <c r="BT35" i="39"/>
  <c r="BS35" i="39"/>
  <c r="BR35" i="39"/>
  <c r="BQ35" i="39"/>
  <c r="BP35" i="39"/>
  <c r="BO35" i="39"/>
  <c r="BW34" i="39"/>
  <c r="BV34" i="39"/>
  <c r="BU34" i="39"/>
  <c r="BT34" i="39"/>
  <c r="BS34" i="39"/>
  <c r="BR34" i="39"/>
  <c r="BQ34" i="39"/>
  <c r="BP34" i="39"/>
  <c r="BO34" i="39"/>
  <c r="BW33" i="39"/>
  <c r="BV33" i="39"/>
  <c r="BU33" i="39"/>
  <c r="BT33" i="39"/>
  <c r="BS33" i="39"/>
  <c r="BR33" i="39"/>
  <c r="BQ33" i="39"/>
  <c r="BP33" i="39"/>
  <c r="BO33" i="39"/>
  <c r="BW32" i="39"/>
  <c r="BV32" i="39"/>
  <c r="BU32" i="39"/>
  <c r="BT32" i="39"/>
  <c r="BS32" i="39"/>
  <c r="BR32" i="39"/>
  <c r="BQ32" i="39"/>
  <c r="BP32" i="39"/>
  <c r="BO32" i="39"/>
  <c r="BW31" i="39"/>
  <c r="BV31" i="39"/>
  <c r="BU31" i="39"/>
  <c r="BT31" i="39"/>
  <c r="BR31" i="39"/>
  <c r="BQ31" i="39"/>
  <c r="BP31" i="39"/>
  <c r="BO31" i="39"/>
  <c r="BW30" i="39"/>
  <c r="BV30" i="39"/>
  <c r="BU30" i="39"/>
  <c r="BT30" i="39"/>
  <c r="BS30" i="39"/>
  <c r="BR30" i="39"/>
  <c r="BQ30" i="39"/>
  <c r="BP30" i="39"/>
  <c r="BO30" i="39"/>
  <c r="BW27" i="39"/>
  <c r="BV27" i="39"/>
  <c r="BU27" i="39"/>
  <c r="BT27" i="39"/>
  <c r="BS27" i="39"/>
  <c r="BR27" i="39"/>
  <c r="BQ27" i="39"/>
  <c r="BP27" i="39"/>
  <c r="BO27" i="39"/>
  <c r="BW26" i="39"/>
  <c r="BV26" i="39"/>
  <c r="BU26" i="39"/>
  <c r="BT26" i="39"/>
  <c r="BS26" i="39"/>
  <c r="BR26" i="39"/>
  <c r="BQ26" i="39"/>
  <c r="BP26" i="39"/>
  <c r="BO26" i="39"/>
  <c r="BW25" i="39"/>
  <c r="BV25" i="39"/>
  <c r="BU25" i="39"/>
  <c r="BT25" i="39"/>
  <c r="BS25" i="39"/>
  <c r="BR25" i="39"/>
  <c r="BQ25" i="39"/>
  <c r="BP25" i="39"/>
  <c r="BO25" i="39"/>
  <c r="BW24" i="39"/>
  <c r="BV24" i="39"/>
  <c r="BU24" i="39"/>
  <c r="BT24" i="39"/>
  <c r="BS24" i="39"/>
  <c r="BR24" i="39"/>
  <c r="BQ24" i="39"/>
  <c r="BP24" i="39"/>
  <c r="BO24" i="39"/>
  <c r="BW23" i="39"/>
  <c r="BV23" i="39"/>
  <c r="BU23" i="39"/>
  <c r="BT23" i="39"/>
  <c r="BS23" i="39"/>
  <c r="BR23" i="39"/>
  <c r="BQ23" i="39"/>
  <c r="BP23" i="39"/>
  <c r="BO23" i="39"/>
  <c r="BW22" i="39"/>
  <c r="BV22" i="39"/>
  <c r="BU22" i="39"/>
  <c r="BT22" i="39"/>
  <c r="BS22" i="39"/>
  <c r="BR22" i="39"/>
  <c r="BQ22" i="39"/>
  <c r="BP22" i="39"/>
  <c r="BO22" i="39"/>
  <c r="BW21" i="39"/>
  <c r="BV21" i="39"/>
  <c r="BU21" i="39"/>
  <c r="BT21" i="39"/>
  <c r="BR21" i="39"/>
  <c r="BQ21" i="39"/>
  <c r="BP21" i="39"/>
  <c r="BO21" i="39"/>
  <c r="BW20" i="39"/>
  <c r="BV20" i="39"/>
  <c r="BU20" i="39"/>
  <c r="BT20" i="39"/>
  <c r="BS20" i="39"/>
  <c r="BR20" i="39"/>
  <c r="BO20" i="39"/>
  <c r="BW19" i="39"/>
  <c r="BV19" i="39"/>
  <c r="BU19" i="39"/>
  <c r="BT19" i="39"/>
  <c r="BS19" i="39"/>
  <c r="BR19" i="39"/>
  <c r="BQ19" i="39"/>
  <c r="BP19" i="39"/>
  <c r="BO19" i="39"/>
  <c r="BW18" i="39"/>
  <c r="BV18" i="39"/>
  <c r="BU18" i="39"/>
  <c r="BT18" i="39"/>
  <c r="BS18" i="39"/>
  <c r="BR18" i="39"/>
  <c r="BQ18" i="39"/>
  <c r="BP18" i="39"/>
  <c r="BO18" i="39"/>
  <c r="BW17" i="39"/>
  <c r="BV17" i="39"/>
  <c r="BU17" i="39"/>
  <c r="BT17" i="39"/>
  <c r="BS17" i="39"/>
  <c r="BR17" i="39"/>
  <c r="BQ17" i="39"/>
  <c r="BP17" i="39"/>
  <c r="BO17" i="39"/>
  <c r="BW16" i="39"/>
  <c r="BV16" i="39"/>
  <c r="BU16" i="39"/>
  <c r="BT16" i="39"/>
  <c r="BS16" i="39"/>
  <c r="BR16" i="39"/>
  <c r="BQ16" i="39"/>
  <c r="BP16" i="39"/>
  <c r="BO16" i="39"/>
  <c r="BW15" i="39"/>
  <c r="BV15" i="39"/>
  <c r="BU15" i="39"/>
  <c r="BT15" i="39"/>
  <c r="BS15" i="39"/>
  <c r="BR15" i="39"/>
  <c r="BQ15" i="39"/>
  <c r="BP15" i="39"/>
  <c r="BO15" i="39"/>
  <c r="BW14" i="39"/>
  <c r="BV14" i="39"/>
  <c r="BU14" i="39"/>
  <c r="BT14" i="39"/>
  <c r="BS14" i="39"/>
  <c r="BR14" i="39"/>
  <c r="BQ14" i="39"/>
  <c r="BP14" i="39"/>
  <c r="BO14" i="39"/>
  <c r="BW13" i="39"/>
  <c r="BV13" i="39"/>
  <c r="BU13" i="39"/>
  <c r="BT13" i="39"/>
  <c r="BR13" i="39"/>
  <c r="BW12" i="39"/>
  <c r="BV12" i="39"/>
  <c r="BU12" i="39"/>
  <c r="BT12" i="39"/>
  <c r="BS12" i="39"/>
  <c r="BR12" i="39"/>
  <c r="BQ12" i="39"/>
  <c r="BP12" i="39"/>
  <c r="BO12" i="39"/>
  <c r="BW11" i="39"/>
  <c r="BV11" i="39"/>
  <c r="BU11" i="39"/>
  <c r="BT11" i="39"/>
  <c r="BS11" i="39"/>
  <c r="BR11" i="39"/>
  <c r="BQ11" i="39"/>
  <c r="BP11" i="39"/>
  <c r="BO11" i="39"/>
  <c r="BW10" i="39"/>
  <c r="BV10" i="39"/>
  <c r="BU10" i="39"/>
  <c r="BT10" i="39"/>
  <c r="BS10" i="39"/>
  <c r="BR10" i="39"/>
  <c r="BQ10" i="39"/>
  <c r="BP10" i="39"/>
  <c r="BO10" i="39"/>
  <c r="BW9" i="39"/>
  <c r="BV9" i="39"/>
  <c r="BU9" i="39"/>
  <c r="BT9" i="39"/>
  <c r="BR9" i="39"/>
  <c r="BQ9" i="39"/>
  <c r="BP9" i="39"/>
  <c r="BW8" i="39"/>
  <c r="BV8" i="39"/>
  <c r="BU8" i="39"/>
  <c r="BT8" i="39"/>
  <c r="BS8" i="39"/>
  <c r="BR8" i="39"/>
  <c r="BQ8" i="39"/>
  <c r="BP8" i="39"/>
  <c r="BO8" i="39"/>
  <c r="BW7" i="39"/>
  <c r="BV7" i="39"/>
  <c r="BU7" i="39"/>
  <c r="BT7" i="39"/>
  <c r="BS7" i="39"/>
  <c r="BR7" i="39"/>
  <c r="BQ7" i="39"/>
  <c r="BP7" i="39"/>
  <c r="BO7" i="39"/>
  <c r="BW6" i="39"/>
  <c r="BV6" i="39"/>
  <c r="BU6" i="39"/>
  <c r="BT6" i="39"/>
  <c r="BS6" i="39"/>
  <c r="BR6" i="39"/>
  <c r="BQ6" i="39"/>
  <c r="BP6" i="39"/>
  <c r="BO6" i="39"/>
  <c r="BM43" i="39"/>
  <c r="BL43" i="39"/>
  <c r="BK43" i="39"/>
  <c r="BJ43" i="39"/>
  <c r="BI43" i="39"/>
  <c r="BH43" i="39"/>
  <c r="BG43" i="39"/>
  <c r="BF43" i="39"/>
  <c r="BE43" i="39"/>
  <c r="BM42" i="39"/>
  <c r="BL42" i="39"/>
  <c r="BK42" i="39"/>
  <c r="BJ42" i="39"/>
  <c r="BI42" i="39"/>
  <c r="BH42" i="39"/>
  <c r="BG42" i="39"/>
  <c r="BF42" i="39"/>
  <c r="BE42" i="39"/>
  <c r="BM41" i="39"/>
  <c r="BL41" i="39"/>
  <c r="BK41" i="39"/>
  <c r="BJ41" i="39"/>
  <c r="BI41" i="39"/>
  <c r="BH41" i="39"/>
  <c r="BG41" i="39"/>
  <c r="BF41" i="39"/>
  <c r="BE41" i="39"/>
  <c r="BM40" i="39"/>
  <c r="BL40" i="39"/>
  <c r="BK40" i="39"/>
  <c r="BJ40" i="39"/>
  <c r="BI40" i="39"/>
  <c r="BH40" i="39"/>
  <c r="BG40" i="39"/>
  <c r="BF40" i="39"/>
  <c r="BE40" i="39"/>
  <c r="BM39" i="39"/>
  <c r="BL39" i="39"/>
  <c r="BK39" i="39"/>
  <c r="BJ39" i="39"/>
  <c r="BI39" i="39"/>
  <c r="BH39" i="39"/>
  <c r="BG39" i="39"/>
  <c r="BF39" i="39"/>
  <c r="BE39" i="39"/>
  <c r="BM38" i="39"/>
  <c r="BL38" i="39"/>
  <c r="BK38" i="39"/>
  <c r="BJ38" i="39"/>
  <c r="BI38" i="39"/>
  <c r="BH38" i="39"/>
  <c r="BG38" i="39"/>
  <c r="BF38" i="39"/>
  <c r="BE38" i="39"/>
  <c r="BM37" i="39"/>
  <c r="BL37" i="39"/>
  <c r="BK37" i="39"/>
  <c r="BJ37" i="39"/>
  <c r="BI37" i="39"/>
  <c r="BH37" i="39"/>
  <c r="BG37" i="39"/>
  <c r="BF37" i="39"/>
  <c r="BE37" i="39"/>
  <c r="BM36" i="39"/>
  <c r="BL36" i="39"/>
  <c r="BK36" i="39"/>
  <c r="BJ36" i="39"/>
  <c r="BH36" i="39"/>
  <c r="BG36" i="39"/>
  <c r="BF36" i="39"/>
  <c r="BE36" i="39"/>
  <c r="BM35" i="39"/>
  <c r="BL35" i="39"/>
  <c r="BK35" i="39"/>
  <c r="BJ35" i="39"/>
  <c r="BI35" i="39"/>
  <c r="BH35" i="39"/>
  <c r="BG35" i="39"/>
  <c r="BF35" i="39"/>
  <c r="BE35" i="39"/>
  <c r="BM34" i="39"/>
  <c r="BL34" i="39"/>
  <c r="BK34" i="39"/>
  <c r="BJ34" i="39"/>
  <c r="BI34" i="39"/>
  <c r="BH34" i="39"/>
  <c r="BG34" i="39"/>
  <c r="BF34" i="39"/>
  <c r="BE34" i="39"/>
  <c r="BM33" i="39"/>
  <c r="BL33" i="39"/>
  <c r="BK33" i="39"/>
  <c r="BJ33" i="39"/>
  <c r="BI33" i="39"/>
  <c r="BH33" i="39"/>
  <c r="BG33" i="39"/>
  <c r="BF33" i="39"/>
  <c r="BE33" i="39"/>
  <c r="BM32" i="39"/>
  <c r="BL32" i="39"/>
  <c r="BK32" i="39"/>
  <c r="BJ32" i="39"/>
  <c r="BI32" i="39"/>
  <c r="BH32" i="39"/>
  <c r="BG32" i="39"/>
  <c r="BF32" i="39"/>
  <c r="BE32" i="39"/>
  <c r="BM31" i="39"/>
  <c r="BL31" i="39"/>
  <c r="BK31" i="39"/>
  <c r="BJ31" i="39"/>
  <c r="BH31" i="39"/>
  <c r="BG31" i="39"/>
  <c r="BF31" i="39"/>
  <c r="BE31" i="39"/>
  <c r="BM30" i="39"/>
  <c r="BL30" i="39"/>
  <c r="BK30" i="39"/>
  <c r="BJ30" i="39"/>
  <c r="BH30" i="39"/>
  <c r="BG30" i="39"/>
  <c r="BF30" i="39"/>
  <c r="BE30" i="39"/>
  <c r="BM27" i="39"/>
  <c r="BL27" i="39"/>
  <c r="BK27" i="39"/>
  <c r="BJ27" i="39"/>
  <c r="BI27" i="39"/>
  <c r="BH27" i="39"/>
  <c r="BG27" i="39"/>
  <c r="BF27" i="39"/>
  <c r="BE27" i="39"/>
  <c r="BM26" i="39"/>
  <c r="BL26" i="39"/>
  <c r="BK26" i="39"/>
  <c r="BJ26" i="39"/>
  <c r="BI26" i="39"/>
  <c r="BH26" i="39"/>
  <c r="BG26" i="39"/>
  <c r="BF26" i="39"/>
  <c r="BE26" i="39"/>
  <c r="BM25" i="39"/>
  <c r="BL25" i="39"/>
  <c r="BK25" i="39"/>
  <c r="BJ25" i="39"/>
  <c r="BH25" i="39"/>
  <c r="BG25" i="39"/>
  <c r="BF25" i="39"/>
  <c r="BE25" i="39"/>
  <c r="BM24" i="39"/>
  <c r="BL24" i="39"/>
  <c r="BK24" i="39"/>
  <c r="BJ24" i="39"/>
  <c r="BH24" i="39"/>
  <c r="BG24" i="39"/>
  <c r="BF24" i="39"/>
  <c r="BE24" i="39"/>
  <c r="BM23" i="39"/>
  <c r="BL23" i="39"/>
  <c r="BK23" i="39"/>
  <c r="BJ23" i="39"/>
  <c r="BI23" i="39"/>
  <c r="BH23" i="39"/>
  <c r="BG23" i="39"/>
  <c r="BF23" i="39"/>
  <c r="BE23" i="39"/>
  <c r="BM22" i="39"/>
  <c r="BL22" i="39"/>
  <c r="BK22" i="39"/>
  <c r="BJ22" i="39"/>
  <c r="BI22" i="39"/>
  <c r="BH22" i="39"/>
  <c r="BG22" i="39"/>
  <c r="BF22" i="39"/>
  <c r="BE22" i="39"/>
  <c r="BM21" i="39"/>
  <c r="BL21" i="39"/>
  <c r="BK21" i="39"/>
  <c r="BJ21" i="39"/>
  <c r="BH21" i="39"/>
  <c r="BG21" i="39"/>
  <c r="BF21" i="39"/>
  <c r="BE21" i="39"/>
  <c r="BM20" i="39"/>
  <c r="BL20" i="39"/>
  <c r="BK20" i="39"/>
  <c r="BJ20" i="39"/>
  <c r="BI20" i="39"/>
  <c r="BH20" i="39"/>
  <c r="BE20" i="39"/>
  <c r="BM19" i="39"/>
  <c r="BL19" i="39"/>
  <c r="BK19" i="39"/>
  <c r="BJ19" i="39"/>
  <c r="BI19" i="39"/>
  <c r="BH19" i="39"/>
  <c r="BG19" i="39"/>
  <c r="BF19" i="39"/>
  <c r="BE19" i="39"/>
  <c r="BM18" i="39"/>
  <c r="BL18" i="39"/>
  <c r="BK18" i="39"/>
  <c r="BJ18" i="39"/>
  <c r="BI18" i="39"/>
  <c r="BH18" i="39"/>
  <c r="BG18" i="39"/>
  <c r="BF18" i="39"/>
  <c r="BE18" i="39"/>
  <c r="BM17" i="39"/>
  <c r="BL17" i="39"/>
  <c r="BK17" i="39"/>
  <c r="BJ17" i="39"/>
  <c r="BI17" i="39"/>
  <c r="BH17" i="39"/>
  <c r="BG17" i="39"/>
  <c r="BF17" i="39"/>
  <c r="BE17" i="39"/>
  <c r="BM16" i="39"/>
  <c r="BL16" i="39"/>
  <c r="BK16" i="39"/>
  <c r="BJ16" i="39"/>
  <c r="BI16" i="39"/>
  <c r="BH16" i="39"/>
  <c r="BG16" i="39"/>
  <c r="BF16" i="39"/>
  <c r="BE16" i="39"/>
  <c r="BM15" i="39"/>
  <c r="BL15" i="39"/>
  <c r="BK15" i="39"/>
  <c r="BJ15" i="39"/>
  <c r="BI15" i="39"/>
  <c r="BH15" i="39"/>
  <c r="BG15" i="39"/>
  <c r="BF15" i="39"/>
  <c r="BE15" i="39"/>
  <c r="BM14" i="39"/>
  <c r="BL14" i="39"/>
  <c r="BK14" i="39"/>
  <c r="BJ14" i="39"/>
  <c r="BI14" i="39"/>
  <c r="BH14" i="39"/>
  <c r="BG14" i="39"/>
  <c r="BF14" i="39"/>
  <c r="BE14" i="39"/>
  <c r="BM13" i="39"/>
  <c r="BL13" i="39"/>
  <c r="BK13" i="39"/>
  <c r="BJ13" i="39"/>
  <c r="BH13" i="39"/>
  <c r="BG13" i="39"/>
  <c r="BF13" i="39"/>
  <c r="BE13" i="39"/>
  <c r="BM12" i="39"/>
  <c r="BL12" i="39"/>
  <c r="BK12" i="39"/>
  <c r="BJ12" i="39"/>
  <c r="BH12" i="39"/>
  <c r="BG12" i="39"/>
  <c r="BF12" i="39"/>
  <c r="BE12" i="39"/>
  <c r="BM11" i="39"/>
  <c r="BL11" i="39"/>
  <c r="BK11" i="39"/>
  <c r="BJ11" i="39"/>
  <c r="BH11" i="39"/>
  <c r="BG11" i="39"/>
  <c r="BF11" i="39"/>
  <c r="BE11" i="39"/>
  <c r="BM10" i="39"/>
  <c r="BL10" i="39"/>
  <c r="BK10" i="39"/>
  <c r="BJ10" i="39"/>
  <c r="BH10" i="39"/>
  <c r="BM9" i="39"/>
  <c r="BL9" i="39"/>
  <c r="BK9" i="39"/>
  <c r="BJ9" i="39"/>
  <c r="BH9" i="39"/>
  <c r="BG9" i="39"/>
  <c r="BF9" i="39"/>
  <c r="BE9" i="39"/>
  <c r="BM8" i="39"/>
  <c r="BL8" i="39"/>
  <c r="BK8" i="39"/>
  <c r="BJ8" i="39"/>
  <c r="BI8" i="39"/>
  <c r="BH8" i="39"/>
  <c r="BG8" i="39"/>
  <c r="BF8" i="39"/>
  <c r="BE8" i="39"/>
  <c r="BM7" i="39"/>
  <c r="BL7" i="39"/>
  <c r="BK7" i="39"/>
  <c r="BJ7" i="39"/>
  <c r="BH7" i="39"/>
  <c r="BG7" i="39"/>
  <c r="BF7" i="39"/>
  <c r="BE7" i="39"/>
  <c r="BM6" i="39"/>
  <c r="BL6" i="39"/>
  <c r="BK6" i="39"/>
  <c r="BJ6" i="39"/>
  <c r="BH6" i="39"/>
  <c r="BG6" i="39"/>
  <c r="BF6" i="39"/>
  <c r="BE6" i="39"/>
  <c r="BB43" i="39"/>
  <c r="BA43" i="39"/>
  <c r="AZ43" i="39"/>
  <c r="AY43" i="39"/>
  <c r="AX43" i="39"/>
  <c r="AW43" i="39"/>
  <c r="AV43" i="39"/>
  <c r="AU43" i="39"/>
  <c r="AT43" i="39"/>
  <c r="BB42" i="39"/>
  <c r="BA42" i="39"/>
  <c r="AZ42" i="39"/>
  <c r="AY42" i="39"/>
  <c r="AX42" i="39"/>
  <c r="AW42" i="39"/>
  <c r="AV42" i="39"/>
  <c r="AU42" i="39"/>
  <c r="AT42" i="39"/>
  <c r="BB41" i="39"/>
  <c r="BA41" i="39"/>
  <c r="AZ41" i="39"/>
  <c r="AY41" i="39"/>
  <c r="AX41" i="39"/>
  <c r="AW41" i="39"/>
  <c r="AV41" i="39"/>
  <c r="AU41" i="39"/>
  <c r="AT41" i="39"/>
  <c r="BB40" i="39"/>
  <c r="BA40" i="39"/>
  <c r="AZ40" i="39"/>
  <c r="AY40" i="39"/>
  <c r="AX40" i="39"/>
  <c r="AW40" i="39"/>
  <c r="AV40" i="39"/>
  <c r="AU40" i="39"/>
  <c r="AT40" i="39"/>
  <c r="BB39" i="39"/>
  <c r="BA39" i="39"/>
  <c r="AZ39" i="39"/>
  <c r="AY39" i="39"/>
  <c r="AX39" i="39"/>
  <c r="AW39" i="39"/>
  <c r="AV39" i="39"/>
  <c r="AU39" i="39"/>
  <c r="AT39" i="39"/>
  <c r="BB38" i="39"/>
  <c r="BA38" i="39"/>
  <c r="AZ38" i="39"/>
  <c r="AY38" i="39"/>
  <c r="AX38" i="39"/>
  <c r="AW38" i="39"/>
  <c r="AV38" i="39"/>
  <c r="AU38" i="39"/>
  <c r="AT38" i="39"/>
  <c r="BB37" i="39"/>
  <c r="BA37" i="39"/>
  <c r="AZ37" i="39"/>
  <c r="AY37" i="39"/>
  <c r="AX37" i="39"/>
  <c r="AW37" i="39"/>
  <c r="AV37" i="39"/>
  <c r="AU37" i="39"/>
  <c r="AT37" i="39"/>
  <c r="BB36" i="39"/>
  <c r="BA36" i="39"/>
  <c r="AZ36" i="39"/>
  <c r="AY36" i="39"/>
  <c r="AX36" i="39"/>
  <c r="AW36" i="39"/>
  <c r="AV36" i="39"/>
  <c r="AU36" i="39"/>
  <c r="AT36" i="39"/>
  <c r="BB35" i="39"/>
  <c r="BA35" i="39"/>
  <c r="AZ35" i="39"/>
  <c r="AY35" i="39"/>
  <c r="AX35" i="39"/>
  <c r="AW35" i="39"/>
  <c r="AV35" i="39"/>
  <c r="AU35" i="39"/>
  <c r="AT35" i="39"/>
  <c r="BB34" i="39"/>
  <c r="BA34" i="39"/>
  <c r="AZ34" i="39"/>
  <c r="AY34" i="39"/>
  <c r="AX34" i="39"/>
  <c r="AW34" i="39"/>
  <c r="AV34" i="39"/>
  <c r="AU34" i="39"/>
  <c r="AT34" i="39"/>
  <c r="BB33" i="39"/>
  <c r="BA33" i="39"/>
  <c r="AZ33" i="39"/>
  <c r="AY33" i="39"/>
  <c r="AX33" i="39"/>
  <c r="AW33" i="39"/>
  <c r="AV33" i="39"/>
  <c r="AU33" i="39"/>
  <c r="AT33" i="39"/>
  <c r="BB32" i="39"/>
  <c r="BA32" i="39"/>
  <c r="AZ32" i="39"/>
  <c r="AY32" i="39"/>
  <c r="AX32" i="39"/>
  <c r="AW32" i="39"/>
  <c r="AV32" i="39"/>
  <c r="AU32" i="39"/>
  <c r="AT32" i="39"/>
  <c r="BB31" i="39"/>
  <c r="BA31" i="39"/>
  <c r="AZ31" i="39"/>
  <c r="AY31" i="39"/>
  <c r="AX31" i="39"/>
  <c r="AW31" i="39"/>
  <c r="AV31" i="39"/>
  <c r="AU31" i="39"/>
  <c r="AT31" i="39"/>
  <c r="BB30" i="39"/>
  <c r="BA30" i="39"/>
  <c r="AZ30" i="39"/>
  <c r="AY30" i="39"/>
  <c r="AX30" i="39"/>
  <c r="AW30" i="39"/>
  <c r="AV30" i="39"/>
  <c r="AU30" i="39"/>
  <c r="AT30" i="39"/>
  <c r="BB27" i="39"/>
  <c r="BA27" i="39"/>
  <c r="AZ27" i="39"/>
  <c r="AY27" i="39"/>
  <c r="AW27" i="39"/>
  <c r="AV27" i="39"/>
  <c r="AU27" i="39"/>
  <c r="AT27" i="39"/>
  <c r="BB26" i="39"/>
  <c r="BA26" i="39"/>
  <c r="AZ26" i="39"/>
  <c r="AY26" i="39"/>
  <c r="AX26" i="39"/>
  <c r="AW26" i="39"/>
  <c r="AV26" i="39"/>
  <c r="AU26" i="39"/>
  <c r="AT26" i="39"/>
  <c r="BB25" i="39"/>
  <c r="BA25" i="39"/>
  <c r="AZ25" i="39"/>
  <c r="AY25" i="39"/>
  <c r="AX25" i="39"/>
  <c r="AW25" i="39"/>
  <c r="AV25" i="39"/>
  <c r="AU25" i="39"/>
  <c r="AT25" i="39"/>
  <c r="BB24" i="39"/>
  <c r="BA24" i="39"/>
  <c r="AZ24" i="39"/>
  <c r="AY24" i="39"/>
  <c r="AW24" i="39"/>
  <c r="AV24" i="39"/>
  <c r="AU24" i="39"/>
  <c r="AT24" i="39"/>
  <c r="BB23" i="39"/>
  <c r="BA23" i="39"/>
  <c r="AZ23" i="39"/>
  <c r="AY23" i="39"/>
  <c r="AX23" i="39"/>
  <c r="AW23" i="39"/>
  <c r="AV23" i="39"/>
  <c r="AU23" i="39"/>
  <c r="AT23" i="39"/>
  <c r="BB22" i="39"/>
  <c r="BA22" i="39"/>
  <c r="AZ22" i="39"/>
  <c r="AY22" i="39"/>
  <c r="AX22" i="39"/>
  <c r="AW22" i="39"/>
  <c r="AV22" i="39"/>
  <c r="AU22" i="39"/>
  <c r="AT22" i="39"/>
  <c r="BB21" i="39"/>
  <c r="BA21" i="39"/>
  <c r="AZ21" i="39"/>
  <c r="AY21" i="39"/>
  <c r="AX21" i="39"/>
  <c r="AW21" i="39"/>
  <c r="AV21" i="39"/>
  <c r="AU21" i="39"/>
  <c r="AT21" i="39"/>
  <c r="BB20" i="39"/>
  <c r="AZ20" i="39"/>
  <c r="AY20" i="39"/>
  <c r="AW20" i="39"/>
  <c r="BB19" i="39"/>
  <c r="BA19" i="39"/>
  <c r="AZ19" i="39"/>
  <c r="AY19" i="39"/>
  <c r="AX19" i="39"/>
  <c r="AW19" i="39"/>
  <c r="AV19" i="39"/>
  <c r="AU19" i="39"/>
  <c r="AT19" i="39"/>
  <c r="BB18" i="39"/>
  <c r="BA18" i="39"/>
  <c r="AZ18" i="39"/>
  <c r="AY18" i="39"/>
  <c r="AX18" i="39"/>
  <c r="AW18" i="39"/>
  <c r="AV18" i="39"/>
  <c r="AU18" i="39"/>
  <c r="AT18" i="39"/>
  <c r="BB17" i="39"/>
  <c r="BA17" i="39"/>
  <c r="AZ17" i="39"/>
  <c r="AY17" i="39"/>
  <c r="AX17" i="39"/>
  <c r="AW17" i="39"/>
  <c r="AV17" i="39"/>
  <c r="AU17" i="39"/>
  <c r="AT17" i="39"/>
  <c r="BB16" i="39"/>
  <c r="BA16" i="39"/>
  <c r="AZ16" i="39"/>
  <c r="AY16" i="39"/>
  <c r="AX16" i="39"/>
  <c r="AW16" i="39"/>
  <c r="AV16" i="39"/>
  <c r="AU16" i="39"/>
  <c r="AT16" i="39"/>
  <c r="BB15" i="39"/>
  <c r="BA15" i="39"/>
  <c r="AZ15" i="39"/>
  <c r="AY15" i="39"/>
  <c r="AX15" i="39"/>
  <c r="AW15" i="39"/>
  <c r="AV15" i="39"/>
  <c r="AU15" i="39"/>
  <c r="AT15" i="39"/>
  <c r="BB14" i="39"/>
  <c r="BA14" i="39"/>
  <c r="AZ14" i="39"/>
  <c r="AY14" i="39"/>
  <c r="AX14" i="39"/>
  <c r="AW14" i="39"/>
  <c r="AV14" i="39"/>
  <c r="AU14" i="39"/>
  <c r="AT14" i="39"/>
  <c r="BB13" i="39"/>
  <c r="BA13" i="39"/>
  <c r="AZ13" i="39"/>
  <c r="AY13" i="39"/>
  <c r="AX13" i="39"/>
  <c r="AW13" i="39"/>
  <c r="AV13" i="39"/>
  <c r="AU13" i="39"/>
  <c r="AT13" i="39"/>
  <c r="BB12" i="39"/>
  <c r="BA12" i="39"/>
  <c r="AZ12" i="39"/>
  <c r="AY12" i="39"/>
  <c r="AX12" i="39"/>
  <c r="AW12" i="39"/>
  <c r="AV12" i="39"/>
  <c r="AU12" i="39"/>
  <c r="AT12" i="39"/>
  <c r="BB11" i="39"/>
  <c r="BA11" i="39"/>
  <c r="AZ11" i="39"/>
  <c r="AY11" i="39"/>
  <c r="AX11" i="39"/>
  <c r="AW11" i="39"/>
  <c r="AV11" i="39"/>
  <c r="AU11" i="39"/>
  <c r="AT11" i="39"/>
  <c r="BB10" i="39"/>
  <c r="BA10" i="39"/>
  <c r="AZ10" i="39"/>
  <c r="AY10" i="39"/>
  <c r="AX10" i="39"/>
  <c r="AW10" i="39"/>
  <c r="AV10" i="39"/>
  <c r="AU10" i="39"/>
  <c r="AT10" i="39"/>
  <c r="BB9" i="39"/>
  <c r="BA9" i="39"/>
  <c r="AZ9" i="39"/>
  <c r="AY9" i="39"/>
  <c r="AX9" i="39"/>
  <c r="AW9" i="39"/>
  <c r="AV9" i="39"/>
  <c r="AU9" i="39"/>
  <c r="AT9" i="39"/>
  <c r="BB8" i="39"/>
  <c r="BA8" i="39"/>
  <c r="AZ8" i="39"/>
  <c r="AY8" i="39"/>
  <c r="AX8" i="39"/>
  <c r="AW8" i="39"/>
  <c r="AV8" i="39"/>
  <c r="AU8" i="39"/>
  <c r="AT8" i="39"/>
  <c r="BB7" i="39"/>
  <c r="BA7" i="39"/>
  <c r="AZ7" i="39"/>
  <c r="AY7" i="39"/>
  <c r="AX7" i="39"/>
  <c r="AW7" i="39"/>
  <c r="AV7" i="39"/>
  <c r="AU7" i="39"/>
  <c r="AT7" i="39"/>
  <c r="BB6" i="39"/>
  <c r="BA6" i="39"/>
  <c r="AZ6" i="39"/>
  <c r="AY6" i="39"/>
  <c r="AX6" i="39"/>
  <c r="AW6" i="39"/>
  <c r="AV6" i="39"/>
  <c r="AU6" i="39"/>
  <c r="AT6" i="39"/>
  <c r="AR43" i="39"/>
  <c r="AQ43" i="39"/>
  <c r="AP43" i="39"/>
  <c r="AO43" i="39"/>
  <c r="AN43" i="39"/>
  <c r="AM43" i="39"/>
  <c r="AL43" i="39"/>
  <c r="AK43" i="39"/>
  <c r="AJ43" i="39"/>
  <c r="AR42" i="39"/>
  <c r="AQ42" i="39"/>
  <c r="AP42" i="39"/>
  <c r="AO42" i="39"/>
  <c r="AN42" i="39"/>
  <c r="AM42" i="39"/>
  <c r="AL42" i="39"/>
  <c r="AK42" i="39"/>
  <c r="AJ42" i="39"/>
  <c r="AR41" i="39"/>
  <c r="AQ41" i="39"/>
  <c r="AP41" i="39"/>
  <c r="AO41" i="39"/>
  <c r="AN41" i="39"/>
  <c r="AM41" i="39"/>
  <c r="AL41" i="39"/>
  <c r="AK41" i="39"/>
  <c r="AJ41" i="39"/>
  <c r="AR40" i="39"/>
  <c r="AQ40" i="39"/>
  <c r="AP40" i="39"/>
  <c r="AO40" i="39"/>
  <c r="AN40" i="39"/>
  <c r="AM40" i="39"/>
  <c r="AL40" i="39"/>
  <c r="AK40" i="39"/>
  <c r="AJ40" i="39"/>
  <c r="AR39" i="39"/>
  <c r="AQ39" i="39"/>
  <c r="AP39" i="39"/>
  <c r="AO39" i="39"/>
  <c r="AN39" i="39"/>
  <c r="AM39" i="39"/>
  <c r="AL39" i="39"/>
  <c r="AK39" i="39"/>
  <c r="AJ39" i="39"/>
  <c r="AR38" i="39"/>
  <c r="AQ38" i="39"/>
  <c r="AP38" i="39"/>
  <c r="AO38" i="39"/>
  <c r="AN38" i="39"/>
  <c r="AM38" i="39"/>
  <c r="AL38" i="39"/>
  <c r="AK38" i="39"/>
  <c r="AJ38" i="39"/>
  <c r="AR37" i="39"/>
  <c r="AQ37" i="39"/>
  <c r="AP37" i="39"/>
  <c r="AO37" i="39"/>
  <c r="AN37" i="39"/>
  <c r="AM37" i="39"/>
  <c r="AL37" i="39"/>
  <c r="AK37" i="39"/>
  <c r="AJ37" i="39"/>
  <c r="AR36" i="39"/>
  <c r="AQ36" i="39"/>
  <c r="AP36" i="39"/>
  <c r="AO36" i="39"/>
  <c r="AN36" i="39"/>
  <c r="AM36" i="39"/>
  <c r="AL36" i="39"/>
  <c r="AK36" i="39"/>
  <c r="AJ36" i="39"/>
  <c r="AR35" i="39"/>
  <c r="AQ35" i="39"/>
  <c r="AP35" i="39"/>
  <c r="AO35" i="39"/>
  <c r="AM35" i="39"/>
  <c r="AL35" i="39"/>
  <c r="AK35" i="39"/>
  <c r="AJ35" i="39"/>
  <c r="AR34" i="39"/>
  <c r="AQ34" i="39"/>
  <c r="AP34" i="39"/>
  <c r="AO34" i="39"/>
  <c r="AN34" i="39"/>
  <c r="AM34" i="39"/>
  <c r="AL34" i="39"/>
  <c r="AK34" i="39"/>
  <c r="AJ34" i="39"/>
  <c r="AR33" i="39"/>
  <c r="AQ33" i="39"/>
  <c r="AP33" i="39"/>
  <c r="AO33" i="39"/>
  <c r="AN33" i="39"/>
  <c r="AM33" i="39"/>
  <c r="AL33" i="39"/>
  <c r="AK33" i="39"/>
  <c r="AJ33" i="39"/>
  <c r="AR32" i="39"/>
  <c r="AQ32" i="39"/>
  <c r="AP32" i="39"/>
  <c r="AO32" i="39"/>
  <c r="AN32" i="39"/>
  <c r="AM32" i="39"/>
  <c r="AL32" i="39"/>
  <c r="AK32" i="39"/>
  <c r="AJ32" i="39"/>
  <c r="AR31" i="39"/>
  <c r="AQ31" i="39"/>
  <c r="AP31" i="39"/>
  <c r="AO31" i="39"/>
  <c r="AN31" i="39"/>
  <c r="AM31" i="39"/>
  <c r="AL31" i="39"/>
  <c r="AK31" i="39"/>
  <c r="AJ31" i="39"/>
  <c r="AR30" i="39"/>
  <c r="AQ30" i="39"/>
  <c r="AP30" i="39"/>
  <c r="AO30" i="39"/>
  <c r="AN30" i="39"/>
  <c r="AM30" i="39"/>
  <c r="AL30" i="39"/>
  <c r="AK30" i="39"/>
  <c r="AJ30" i="39"/>
  <c r="AR27" i="39"/>
  <c r="AQ27" i="39"/>
  <c r="AP27" i="39"/>
  <c r="AO27" i="39"/>
  <c r="AM27" i="39"/>
  <c r="AL27" i="39"/>
  <c r="AK27" i="39"/>
  <c r="AJ27" i="39"/>
  <c r="AR26" i="39"/>
  <c r="AQ26" i="39"/>
  <c r="AP26" i="39"/>
  <c r="AO26" i="39"/>
  <c r="AN26" i="39"/>
  <c r="AM26" i="39"/>
  <c r="AL26" i="39"/>
  <c r="AK26" i="39"/>
  <c r="AJ26" i="39"/>
  <c r="AR25" i="39"/>
  <c r="AQ25" i="39"/>
  <c r="AP25" i="39"/>
  <c r="AO25" i="39"/>
  <c r="AN25" i="39"/>
  <c r="AM25" i="39"/>
  <c r="AL25" i="39"/>
  <c r="AK25" i="39"/>
  <c r="AJ25" i="39"/>
  <c r="AR24" i="39"/>
  <c r="AQ24" i="39"/>
  <c r="AP24" i="39"/>
  <c r="AO24" i="39"/>
  <c r="AM24" i="39"/>
  <c r="AL24" i="39"/>
  <c r="AK24" i="39"/>
  <c r="AJ24" i="39"/>
  <c r="AR23" i="39"/>
  <c r="AQ23" i="39"/>
  <c r="AP23" i="39"/>
  <c r="AO23" i="39"/>
  <c r="AN23" i="39"/>
  <c r="AM23" i="39"/>
  <c r="AL23" i="39"/>
  <c r="AK23" i="39"/>
  <c r="AJ23" i="39"/>
  <c r="AR22" i="39"/>
  <c r="AQ22" i="39"/>
  <c r="AP22" i="39"/>
  <c r="AO22" i="39"/>
  <c r="AN22" i="39"/>
  <c r="AM22" i="39"/>
  <c r="AL22" i="39"/>
  <c r="AK22" i="39"/>
  <c r="AJ22" i="39"/>
  <c r="AR21" i="39"/>
  <c r="AQ21" i="39"/>
  <c r="AP21" i="39"/>
  <c r="AO21" i="39"/>
  <c r="AM21" i="39"/>
  <c r="AL21" i="39"/>
  <c r="AK21" i="39"/>
  <c r="AJ21" i="39"/>
  <c r="AR20" i="39"/>
  <c r="AP20" i="39"/>
  <c r="AO20" i="39"/>
  <c r="AM20" i="39"/>
  <c r="AJ20" i="39"/>
  <c r="AR19" i="39"/>
  <c r="AQ19" i="39"/>
  <c r="AP19" i="39"/>
  <c r="AO19" i="39"/>
  <c r="AN19" i="39"/>
  <c r="AM19" i="39"/>
  <c r="AL19" i="39"/>
  <c r="AK19" i="39"/>
  <c r="AJ19" i="39"/>
  <c r="AR18" i="39"/>
  <c r="AQ18" i="39"/>
  <c r="AP18" i="39"/>
  <c r="AO18" i="39"/>
  <c r="AN18" i="39"/>
  <c r="AM18" i="39"/>
  <c r="AL18" i="39"/>
  <c r="AK18" i="39"/>
  <c r="AJ18" i="39"/>
  <c r="AR17" i="39"/>
  <c r="AQ17" i="39"/>
  <c r="AP17" i="39"/>
  <c r="AO17" i="39"/>
  <c r="AN17" i="39"/>
  <c r="AM17" i="39"/>
  <c r="AL17" i="39"/>
  <c r="AK17" i="39"/>
  <c r="AJ17" i="39"/>
  <c r="AR16" i="39"/>
  <c r="AQ16" i="39"/>
  <c r="AP16" i="39"/>
  <c r="AO16" i="39"/>
  <c r="AN16" i="39"/>
  <c r="AM16" i="39"/>
  <c r="AL16" i="39"/>
  <c r="AK16" i="39"/>
  <c r="AJ16" i="39"/>
  <c r="AR15" i="39"/>
  <c r="AQ15" i="39"/>
  <c r="AP15" i="39"/>
  <c r="AO15" i="39"/>
  <c r="AN15" i="39"/>
  <c r="AM15" i="39"/>
  <c r="AL15" i="39"/>
  <c r="AK15" i="39"/>
  <c r="AJ15" i="39"/>
  <c r="AR14" i="39"/>
  <c r="AQ14" i="39"/>
  <c r="AP14" i="39"/>
  <c r="AO14" i="39"/>
  <c r="AN14" i="39"/>
  <c r="AM14" i="39"/>
  <c r="AL14" i="39"/>
  <c r="AK14" i="39"/>
  <c r="AJ14" i="39"/>
  <c r="AR13" i="39"/>
  <c r="AQ13" i="39"/>
  <c r="AP13" i="39"/>
  <c r="AO13" i="39"/>
  <c r="AN13" i="39"/>
  <c r="AM13" i="39"/>
  <c r="AL13" i="39"/>
  <c r="AK13" i="39"/>
  <c r="AJ13" i="39"/>
  <c r="AR12" i="39"/>
  <c r="AQ12" i="39"/>
  <c r="AP12" i="39"/>
  <c r="AO12" i="39"/>
  <c r="AM12" i="39"/>
  <c r="AL12" i="39"/>
  <c r="AK12" i="39"/>
  <c r="AJ12" i="39"/>
  <c r="AR11" i="39"/>
  <c r="AQ11" i="39"/>
  <c r="AP11" i="39"/>
  <c r="AO11" i="39"/>
  <c r="AN11" i="39"/>
  <c r="AM11" i="39"/>
  <c r="AL11" i="39"/>
  <c r="AK11" i="39"/>
  <c r="AJ11" i="39"/>
  <c r="AR10" i="39"/>
  <c r="AQ10" i="39"/>
  <c r="AP10" i="39"/>
  <c r="AO10" i="39"/>
  <c r="AN10" i="39"/>
  <c r="AM10" i="39"/>
  <c r="AL10" i="39"/>
  <c r="AK10" i="39"/>
  <c r="AJ10" i="39"/>
  <c r="AR9" i="39"/>
  <c r="AQ9" i="39"/>
  <c r="AP9" i="39"/>
  <c r="AO9" i="39"/>
  <c r="AN9" i="39"/>
  <c r="AM9" i="39"/>
  <c r="AL9" i="39"/>
  <c r="AK9" i="39"/>
  <c r="AJ9" i="39"/>
  <c r="AR8" i="39"/>
  <c r="AQ8" i="39"/>
  <c r="AP8" i="39"/>
  <c r="AO8" i="39"/>
  <c r="AN8" i="39"/>
  <c r="AM8" i="39"/>
  <c r="AL8" i="39"/>
  <c r="AK8" i="39"/>
  <c r="AJ8" i="39"/>
  <c r="AR7" i="39"/>
  <c r="AQ7" i="39"/>
  <c r="AP7" i="39"/>
  <c r="AO7" i="39"/>
  <c r="AM7" i="39"/>
  <c r="AL7" i="39"/>
  <c r="AK7" i="39"/>
  <c r="AJ7" i="39"/>
  <c r="AR6" i="39"/>
  <c r="AQ6" i="39"/>
  <c r="AP6" i="39"/>
  <c r="AO6" i="39"/>
  <c r="AN6" i="39"/>
  <c r="AM6" i="39"/>
  <c r="AL6" i="39"/>
  <c r="AK6" i="39"/>
  <c r="AJ6" i="39"/>
  <c r="AH43" i="39"/>
  <c r="AG43" i="39"/>
  <c r="AF43" i="39"/>
  <c r="AE43" i="39"/>
  <c r="AD43" i="39"/>
  <c r="AC43" i="39"/>
  <c r="AB43" i="39"/>
  <c r="AA43" i="39"/>
  <c r="Z43" i="39"/>
  <c r="AH42" i="39"/>
  <c r="AG42" i="39"/>
  <c r="AF42" i="39"/>
  <c r="AE42" i="39"/>
  <c r="AC42" i="39"/>
  <c r="AB42" i="39"/>
  <c r="AA42" i="39"/>
  <c r="Z42" i="39"/>
  <c r="AH41" i="39"/>
  <c r="AG41" i="39"/>
  <c r="AF41" i="39"/>
  <c r="AE41" i="39"/>
  <c r="AC41" i="39"/>
  <c r="AB41" i="39"/>
  <c r="AA41" i="39"/>
  <c r="Z41" i="39"/>
  <c r="AH40" i="39"/>
  <c r="AG40" i="39"/>
  <c r="AF40" i="39"/>
  <c r="AE40" i="39"/>
  <c r="AC40" i="39"/>
  <c r="AB40" i="39"/>
  <c r="AA40" i="39"/>
  <c r="Z40" i="39"/>
  <c r="AH39" i="39"/>
  <c r="AG39" i="39"/>
  <c r="AF39" i="39"/>
  <c r="AE39" i="39"/>
  <c r="AC39" i="39"/>
  <c r="AB39" i="39"/>
  <c r="AA39" i="39"/>
  <c r="Z39" i="39"/>
  <c r="AH38" i="39"/>
  <c r="AG38" i="39"/>
  <c r="AF38" i="39"/>
  <c r="AE38" i="39"/>
  <c r="AC38" i="39"/>
  <c r="AB38" i="39"/>
  <c r="AA38" i="39"/>
  <c r="Z38" i="39"/>
  <c r="AH37" i="39"/>
  <c r="AG37" i="39"/>
  <c r="AF37" i="39"/>
  <c r="AE37" i="39"/>
  <c r="AC37" i="39"/>
  <c r="AB37" i="39"/>
  <c r="AA37" i="39"/>
  <c r="Z37" i="39"/>
  <c r="AH36" i="39"/>
  <c r="AG36" i="39"/>
  <c r="AF36" i="39"/>
  <c r="AE36" i="39"/>
  <c r="AC36" i="39"/>
  <c r="AB36" i="39"/>
  <c r="AA36" i="39"/>
  <c r="Z36" i="39"/>
  <c r="AH35" i="39"/>
  <c r="AG35" i="39"/>
  <c r="AF35" i="39"/>
  <c r="AE35" i="39"/>
  <c r="AC35" i="39"/>
  <c r="AB35" i="39"/>
  <c r="AA35" i="39"/>
  <c r="Z35" i="39"/>
  <c r="AH34" i="39"/>
  <c r="AG34" i="39"/>
  <c r="AF34" i="39"/>
  <c r="AE34" i="39"/>
  <c r="AD34" i="39"/>
  <c r="AC34" i="39"/>
  <c r="AB34" i="39"/>
  <c r="AA34" i="39"/>
  <c r="Z34" i="39"/>
  <c r="AH33" i="39"/>
  <c r="AG33" i="39"/>
  <c r="AF33" i="39"/>
  <c r="AE33" i="39"/>
  <c r="AD33" i="39"/>
  <c r="AC33" i="39"/>
  <c r="AB33" i="39"/>
  <c r="AA33" i="39"/>
  <c r="Z33" i="39"/>
  <c r="AH32" i="39"/>
  <c r="AG32" i="39"/>
  <c r="AF32" i="39"/>
  <c r="AE32" i="39"/>
  <c r="AC32" i="39"/>
  <c r="AB32" i="39"/>
  <c r="AA32" i="39"/>
  <c r="Z32" i="39"/>
  <c r="AH31" i="39"/>
  <c r="AG31" i="39"/>
  <c r="AF31" i="39"/>
  <c r="AE31" i="39"/>
  <c r="AD31" i="39"/>
  <c r="AC31" i="39"/>
  <c r="AB31" i="39"/>
  <c r="AA31" i="39"/>
  <c r="Z31" i="39"/>
  <c r="AH30" i="39"/>
  <c r="AG30" i="39"/>
  <c r="AF30" i="39"/>
  <c r="AE30" i="39"/>
  <c r="AD30" i="39"/>
  <c r="AC30" i="39"/>
  <c r="AB30" i="39"/>
  <c r="AA30" i="39"/>
  <c r="Z30" i="39"/>
  <c r="AH27" i="39"/>
  <c r="AG27" i="39"/>
  <c r="AF27" i="39"/>
  <c r="AE27" i="39"/>
  <c r="AC27" i="39"/>
  <c r="AB27" i="39"/>
  <c r="AA27" i="39"/>
  <c r="Z27" i="39"/>
  <c r="AH26" i="39"/>
  <c r="AG26" i="39"/>
  <c r="AF26" i="39"/>
  <c r="AE26" i="39"/>
  <c r="AD26" i="39"/>
  <c r="AC26" i="39"/>
  <c r="AB26" i="39"/>
  <c r="AA26" i="39"/>
  <c r="Z26" i="39"/>
  <c r="AH25" i="39"/>
  <c r="AG25" i="39"/>
  <c r="AF25" i="39"/>
  <c r="AE25" i="39"/>
  <c r="AD25" i="39"/>
  <c r="AC25" i="39"/>
  <c r="AB25" i="39"/>
  <c r="AA25" i="39"/>
  <c r="Z25" i="39"/>
  <c r="AH24" i="39"/>
  <c r="AG24" i="39"/>
  <c r="AF24" i="39"/>
  <c r="AE24" i="39"/>
  <c r="AC24" i="39"/>
  <c r="AB24" i="39"/>
  <c r="AA24" i="39"/>
  <c r="Z24" i="39"/>
  <c r="AH23" i="39"/>
  <c r="AG23" i="39"/>
  <c r="AF23" i="39"/>
  <c r="AE23" i="39"/>
  <c r="AD23" i="39"/>
  <c r="AC23" i="39"/>
  <c r="AB23" i="39"/>
  <c r="AA23" i="39"/>
  <c r="Z23" i="39"/>
  <c r="AH22" i="39"/>
  <c r="AG22" i="39"/>
  <c r="AF22" i="39"/>
  <c r="AE22" i="39"/>
  <c r="AD22" i="39"/>
  <c r="AC22" i="39"/>
  <c r="AB22" i="39"/>
  <c r="AA22" i="39"/>
  <c r="Z22" i="39"/>
  <c r="AH21" i="39"/>
  <c r="AG21" i="39"/>
  <c r="AF21" i="39"/>
  <c r="AE21" i="39"/>
  <c r="AC21" i="39"/>
  <c r="AB21" i="39"/>
  <c r="AA21" i="39"/>
  <c r="Z21" i="39"/>
  <c r="AH20" i="39"/>
  <c r="AF20" i="39"/>
  <c r="AE20" i="39"/>
  <c r="AC20" i="39"/>
  <c r="Z20" i="39"/>
  <c r="AH19" i="39"/>
  <c r="AG19" i="39"/>
  <c r="AF19" i="39"/>
  <c r="AE19" i="39"/>
  <c r="AD19" i="39"/>
  <c r="AC19" i="39"/>
  <c r="AB19" i="39"/>
  <c r="AA19" i="39"/>
  <c r="Z19" i="39"/>
  <c r="AH18" i="39"/>
  <c r="AG18" i="39"/>
  <c r="AF18" i="39"/>
  <c r="AE18" i="39"/>
  <c r="AD18" i="39"/>
  <c r="AC18" i="39"/>
  <c r="AB18" i="39"/>
  <c r="AA18" i="39"/>
  <c r="Z18" i="39"/>
  <c r="AH17" i="39"/>
  <c r="AG17" i="39"/>
  <c r="AF17" i="39"/>
  <c r="AE17" i="39"/>
  <c r="AD17" i="39"/>
  <c r="AC17" i="39"/>
  <c r="AB17" i="39"/>
  <c r="AA17" i="39"/>
  <c r="Z17" i="39"/>
  <c r="AH16" i="39"/>
  <c r="AG16" i="39"/>
  <c r="AF16" i="39"/>
  <c r="AE16" i="39"/>
  <c r="AC16" i="39"/>
  <c r="AB16" i="39"/>
  <c r="AA16" i="39"/>
  <c r="Z16" i="39"/>
  <c r="AH15" i="39"/>
  <c r="AG15" i="39"/>
  <c r="AF15" i="39"/>
  <c r="AE15" i="39"/>
  <c r="AD15" i="39"/>
  <c r="AC15" i="39"/>
  <c r="AB15" i="39"/>
  <c r="AA15" i="39"/>
  <c r="Z15" i="39"/>
  <c r="AH14" i="39"/>
  <c r="AG14" i="39"/>
  <c r="AF14" i="39"/>
  <c r="AE14" i="39"/>
  <c r="AD14" i="39"/>
  <c r="AC14" i="39"/>
  <c r="AB14" i="39"/>
  <c r="AA14" i="39"/>
  <c r="Z14" i="39"/>
  <c r="AH13" i="39"/>
  <c r="AG13" i="39"/>
  <c r="AF13" i="39"/>
  <c r="AE13" i="39"/>
  <c r="AD13" i="39"/>
  <c r="AC13" i="39"/>
  <c r="AB13" i="39"/>
  <c r="AA13" i="39"/>
  <c r="Z13" i="39"/>
  <c r="AH12" i="39"/>
  <c r="AG12" i="39"/>
  <c r="AF12" i="39"/>
  <c r="AE12" i="39"/>
  <c r="AD12" i="39"/>
  <c r="AC12" i="39"/>
  <c r="AB12" i="39"/>
  <c r="AA12" i="39"/>
  <c r="Z12" i="39"/>
  <c r="AH11" i="39"/>
  <c r="AG11" i="39"/>
  <c r="AF11" i="39"/>
  <c r="AE11" i="39"/>
  <c r="AD11" i="39"/>
  <c r="AC11" i="39"/>
  <c r="AB11" i="39"/>
  <c r="AA11" i="39"/>
  <c r="Z11" i="39"/>
  <c r="AH10" i="39"/>
  <c r="AG10" i="39"/>
  <c r="AF10" i="39"/>
  <c r="AE10" i="39"/>
  <c r="AC10" i="39"/>
  <c r="AB10" i="39"/>
  <c r="AA10" i="39"/>
  <c r="Z10" i="39"/>
  <c r="AH9" i="39"/>
  <c r="AG9" i="39"/>
  <c r="AF9" i="39"/>
  <c r="AE9" i="39"/>
  <c r="AD9" i="39"/>
  <c r="AC9" i="39"/>
  <c r="AB9" i="39"/>
  <c r="AA9" i="39"/>
  <c r="AH8" i="39"/>
  <c r="AG8" i="39"/>
  <c r="AF8" i="39"/>
  <c r="AE8" i="39"/>
  <c r="AD8" i="39"/>
  <c r="AC8" i="39"/>
  <c r="AB8" i="39"/>
  <c r="AA8" i="39"/>
  <c r="Z8" i="39"/>
  <c r="AH7" i="39"/>
  <c r="AG7" i="39"/>
  <c r="AF7" i="39"/>
  <c r="AE7" i="39"/>
  <c r="AC7" i="39"/>
  <c r="AH6" i="39"/>
  <c r="AG6" i="39"/>
  <c r="AF6" i="39"/>
  <c r="AE6" i="39"/>
  <c r="AD6" i="39"/>
  <c r="AC6" i="39"/>
  <c r="AB6" i="39"/>
  <c r="AA6" i="39"/>
  <c r="Z6" i="39"/>
  <c r="X43" i="39"/>
  <c r="W43" i="39"/>
  <c r="V43" i="39"/>
  <c r="U43" i="39"/>
  <c r="T43" i="39"/>
  <c r="S43" i="39"/>
  <c r="R43" i="39"/>
  <c r="Q43" i="39"/>
  <c r="P43" i="39"/>
  <c r="X42" i="39"/>
  <c r="W42" i="39"/>
  <c r="V42" i="39"/>
  <c r="U42" i="39"/>
  <c r="T42" i="39"/>
  <c r="S42" i="39"/>
  <c r="R42" i="39"/>
  <c r="Q42" i="39"/>
  <c r="P42" i="39"/>
  <c r="X41" i="39"/>
  <c r="W41" i="39"/>
  <c r="V41" i="39"/>
  <c r="U41" i="39"/>
  <c r="T41" i="39"/>
  <c r="S41" i="39"/>
  <c r="R41" i="39"/>
  <c r="Q41" i="39"/>
  <c r="P41" i="39"/>
  <c r="X40" i="39"/>
  <c r="W40" i="39"/>
  <c r="V40" i="39"/>
  <c r="U40" i="39"/>
  <c r="T40" i="39"/>
  <c r="S40" i="39"/>
  <c r="R40" i="39"/>
  <c r="Q40" i="39"/>
  <c r="P40" i="39"/>
  <c r="X39" i="39"/>
  <c r="W39" i="39"/>
  <c r="V39" i="39"/>
  <c r="U39" i="39"/>
  <c r="T39" i="39"/>
  <c r="S39" i="39"/>
  <c r="R39" i="39"/>
  <c r="Q39" i="39"/>
  <c r="P39" i="39"/>
  <c r="X38" i="39"/>
  <c r="W38" i="39"/>
  <c r="V38" i="39"/>
  <c r="U38" i="39"/>
  <c r="T38" i="39"/>
  <c r="S38" i="39"/>
  <c r="R38" i="39"/>
  <c r="Q38" i="39"/>
  <c r="P38" i="39"/>
  <c r="X37" i="39"/>
  <c r="W37" i="39"/>
  <c r="V37" i="39"/>
  <c r="U37" i="39"/>
  <c r="T37" i="39"/>
  <c r="S37" i="39"/>
  <c r="R37" i="39"/>
  <c r="Q37" i="39"/>
  <c r="P37" i="39"/>
  <c r="X36" i="39"/>
  <c r="W36" i="39"/>
  <c r="V36" i="39"/>
  <c r="U36" i="39"/>
  <c r="T36" i="39"/>
  <c r="S36" i="39"/>
  <c r="R36" i="39"/>
  <c r="Q36" i="39"/>
  <c r="P36" i="39"/>
  <c r="X35" i="39"/>
  <c r="W35" i="39"/>
  <c r="V35" i="39"/>
  <c r="U35" i="39"/>
  <c r="S35" i="39"/>
  <c r="R35" i="39"/>
  <c r="Q35" i="39"/>
  <c r="P35" i="39"/>
  <c r="X34" i="39"/>
  <c r="W34" i="39"/>
  <c r="V34" i="39"/>
  <c r="U34" i="39"/>
  <c r="T34" i="39"/>
  <c r="S34" i="39"/>
  <c r="R34" i="39"/>
  <c r="Q34" i="39"/>
  <c r="P34" i="39"/>
  <c r="X33" i="39"/>
  <c r="W33" i="39"/>
  <c r="V33" i="39"/>
  <c r="U33" i="39"/>
  <c r="T33" i="39"/>
  <c r="S33" i="39"/>
  <c r="R33" i="39"/>
  <c r="Q33" i="39"/>
  <c r="P33" i="39"/>
  <c r="X32" i="39"/>
  <c r="W32" i="39"/>
  <c r="V32" i="39"/>
  <c r="U32" i="39"/>
  <c r="S32" i="39"/>
  <c r="R32" i="39"/>
  <c r="Q32" i="39"/>
  <c r="P32" i="39"/>
  <c r="X31" i="39"/>
  <c r="W31" i="39"/>
  <c r="V31" i="39"/>
  <c r="U31" i="39"/>
  <c r="S31" i="39"/>
  <c r="R31" i="39"/>
  <c r="Q31" i="39"/>
  <c r="P31" i="39"/>
  <c r="X30" i="39"/>
  <c r="W30" i="39"/>
  <c r="V30" i="39"/>
  <c r="U30" i="39"/>
  <c r="T30" i="39"/>
  <c r="S30" i="39"/>
  <c r="R30" i="39"/>
  <c r="Q30" i="39"/>
  <c r="P30" i="39"/>
  <c r="X27" i="39"/>
  <c r="W27" i="39"/>
  <c r="V27" i="39"/>
  <c r="U27" i="39"/>
  <c r="S27" i="39"/>
  <c r="R27" i="39"/>
  <c r="Q27" i="39"/>
  <c r="P27" i="39"/>
  <c r="X26" i="39"/>
  <c r="W26" i="39"/>
  <c r="V26" i="39"/>
  <c r="U26" i="39"/>
  <c r="T26" i="39"/>
  <c r="S26" i="39"/>
  <c r="R26" i="39"/>
  <c r="Q26" i="39"/>
  <c r="P26" i="39"/>
  <c r="X25" i="39"/>
  <c r="W25" i="39"/>
  <c r="V25" i="39"/>
  <c r="U25" i="39"/>
  <c r="T25" i="39"/>
  <c r="S25" i="39"/>
  <c r="R25" i="39"/>
  <c r="Q25" i="39"/>
  <c r="P25" i="39"/>
  <c r="X24" i="39"/>
  <c r="W24" i="39"/>
  <c r="V24" i="39"/>
  <c r="U24" i="39"/>
  <c r="S24" i="39"/>
  <c r="R24" i="39"/>
  <c r="Q24" i="39"/>
  <c r="P24" i="39"/>
  <c r="X23" i="39"/>
  <c r="W23" i="39"/>
  <c r="V23" i="39"/>
  <c r="U23" i="39"/>
  <c r="S23" i="39"/>
  <c r="R23" i="39"/>
  <c r="Q23" i="39"/>
  <c r="P23" i="39"/>
  <c r="X22" i="39"/>
  <c r="W22" i="39"/>
  <c r="V22" i="39"/>
  <c r="U22" i="39"/>
  <c r="T22" i="39"/>
  <c r="S22" i="39"/>
  <c r="R22" i="39"/>
  <c r="Q22" i="39"/>
  <c r="P22" i="39"/>
  <c r="X21" i="39"/>
  <c r="W21" i="39"/>
  <c r="V21" i="39"/>
  <c r="U21" i="39"/>
  <c r="S21" i="39"/>
  <c r="R21" i="39"/>
  <c r="Q21" i="39"/>
  <c r="P21" i="39"/>
  <c r="X20" i="39"/>
  <c r="V20" i="39"/>
  <c r="U20" i="39"/>
  <c r="S20" i="39"/>
  <c r="X19" i="39"/>
  <c r="W19" i="39"/>
  <c r="V19" i="39"/>
  <c r="U19" i="39"/>
  <c r="S19" i="39"/>
  <c r="R19" i="39"/>
  <c r="Q19" i="39"/>
  <c r="P19" i="39"/>
  <c r="X18" i="39"/>
  <c r="W18" i="39"/>
  <c r="V18" i="39"/>
  <c r="U18" i="39"/>
  <c r="T18" i="39"/>
  <c r="S18" i="39"/>
  <c r="R18" i="39"/>
  <c r="Q18" i="39"/>
  <c r="P18" i="39"/>
  <c r="X17" i="39"/>
  <c r="W17" i="39"/>
  <c r="V17" i="39"/>
  <c r="U17" i="39"/>
  <c r="T17" i="39"/>
  <c r="S17" i="39"/>
  <c r="R17" i="39"/>
  <c r="Q17" i="39"/>
  <c r="P17" i="39"/>
  <c r="X16" i="39"/>
  <c r="W16" i="39"/>
  <c r="V16" i="39"/>
  <c r="U16" i="39"/>
  <c r="T16" i="39"/>
  <c r="S16" i="39"/>
  <c r="R16" i="39"/>
  <c r="Q16" i="39"/>
  <c r="P16" i="39"/>
  <c r="X15" i="39"/>
  <c r="V15" i="39"/>
  <c r="U15" i="39"/>
  <c r="T15" i="39"/>
  <c r="S15" i="39"/>
  <c r="X14" i="39"/>
  <c r="W14" i="39"/>
  <c r="V14" i="39"/>
  <c r="U14" i="39"/>
  <c r="T14" i="39"/>
  <c r="S14" i="39"/>
  <c r="R14" i="39"/>
  <c r="Q14" i="39"/>
  <c r="P14" i="39"/>
  <c r="X13" i="39"/>
  <c r="W13" i="39"/>
  <c r="V13" i="39"/>
  <c r="U13" i="39"/>
  <c r="S13" i="39"/>
  <c r="X12" i="39"/>
  <c r="W12" i="39"/>
  <c r="V12" i="39"/>
  <c r="U12" i="39"/>
  <c r="S12" i="39"/>
  <c r="R12" i="39"/>
  <c r="Q12" i="39"/>
  <c r="P12" i="39"/>
  <c r="X11" i="39"/>
  <c r="W11" i="39"/>
  <c r="V11" i="39"/>
  <c r="U11" i="39"/>
  <c r="T11" i="39"/>
  <c r="S11" i="39"/>
  <c r="R11" i="39"/>
  <c r="Q11" i="39"/>
  <c r="P11" i="39"/>
  <c r="X10" i="39"/>
  <c r="W10" i="39"/>
  <c r="V10" i="39"/>
  <c r="U10" i="39"/>
  <c r="S10" i="39"/>
  <c r="R10" i="39"/>
  <c r="Q10" i="39"/>
  <c r="P10" i="39"/>
  <c r="X9" i="39"/>
  <c r="V9" i="39"/>
  <c r="U9" i="39"/>
  <c r="S9" i="39"/>
  <c r="X8" i="39"/>
  <c r="W8" i="39"/>
  <c r="V8" i="39"/>
  <c r="U8" i="39"/>
  <c r="T8" i="39"/>
  <c r="S8" i="39"/>
  <c r="R8" i="39"/>
  <c r="Q8" i="39"/>
  <c r="P8" i="39"/>
  <c r="X7" i="39"/>
  <c r="V7" i="39"/>
  <c r="U7" i="39"/>
  <c r="S7" i="39"/>
  <c r="X6" i="39"/>
  <c r="W6" i="39"/>
  <c r="V6" i="39"/>
  <c r="U6" i="39"/>
  <c r="T6" i="39"/>
  <c r="S6" i="39"/>
  <c r="R6" i="39"/>
  <c r="Q6" i="39"/>
  <c r="P6" i="39"/>
  <c r="N43" i="39"/>
  <c r="M43" i="39"/>
  <c r="L43" i="39"/>
  <c r="K43" i="39"/>
  <c r="J43" i="39"/>
  <c r="I43" i="39"/>
  <c r="H43" i="39"/>
  <c r="G43" i="39"/>
  <c r="F43" i="39"/>
  <c r="N42" i="39"/>
  <c r="M42" i="39"/>
  <c r="L42" i="39"/>
  <c r="K42" i="39"/>
  <c r="J42" i="39"/>
  <c r="I42" i="39"/>
  <c r="H42" i="39"/>
  <c r="G42" i="39"/>
  <c r="F42" i="39"/>
  <c r="N41" i="39"/>
  <c r="M41" i="39"/>
  <c r="L41" i="39"/>
  <c r="K41" i="39"/>
  <c r="J41" i="39"/>
  <c r="I41" i="39"/>
  <c r="H41" i="39"/>
  <c r="G41" i="39"/>
  <c r="F41" i="39"/>
  <c r="N40" i="39"/>
  <c r="M40" i="39"/>
  <c r="L40" i="39"/>
  <c r="K40" i="39"/>
  <c r="J40" i="39"/>
  <c r="I40" i="39"/>
  <c r="H40" i="39"/>
  <c r="G40" i="39"/>
  <c r="F40" i="39"/>
  <c r="N39" i="39"/>
  <c r="M39" i="39"/>
  <c r="L39" i="39"/>
  <c r="K39" i="39"/>
  <c r="J39" i="39"/>
  <c r="I39" i="39"/>
  <c r="H39" i="39"/>
  <c r="G39" i="39"/>
  <c r="F39" i="39"/>
  <c r="N38" i="39"/>
  <c r="M38" i="39"/>
  <c r="L38" i="39"/>
  <c r="K38" i="39"/>
  <c r="J38" i="39"/>
  <c r="I38" i="39"/>
  <c r="H38" i="39"/>
  <c r="G38" i="39"/>
  <c r="F38" i="39"/>
  <c r="N37" i="39"/>
  <c r="M37" i="39"/>
  <c r="L37" i="39"/>
  <c r="K37" i="39"/>
  <c r="J37" i="39"/>
  <c r="I37" i="39"/>
  <c r="H37" i="39"/>
  <c r="G37" i="39"/>
  <c r="F37" i="39"/>
  <c r="N36" i="39"/>
  <c r="M36" i="39"/>
  <c r="L36" i="39"/>
  <c r="K36" i="39"/>
  <c r="I36" i="39"/>
  <c r="H36" i="39"/>
  <c r="G36" i="39"/>
  <c r="F36" i="39"/>
  <c r="N35" i="39"/>
  <c r="M35" i="39"/>
  <c r="L35" i="39"/>
  <c r="K35" i="39"/>
  <c r="J35" i="39"/>
  <c r="I35" i="39"/>
  <c r="H35" i="39"/>
  <c r="G35" i="39"/>
  <c r="F35" i="39"/>
  <c r="N34" i="39"/>
  <c r="M34" i="39"/>
  <c r="L34" i="39"/>
  <c r="K34" i="39"/>
  <c r="J34" i="39"/>
  <c r="I34" i="39"/>
  <c r="H34" i="39"/>
  <c r="G34" i="39"/>
  <c r="F34" i="39"/>
  <c r="N33" i="39"/>
  <c r="M33" i="39"/>
  <c r="L33" i="39"/>
  <c r="K33" i="39"/>
  <c r="J33" i="39"/>
  <c r="I33" i="39"/>
  <c r="H33" i="39"/>
  <c r="G33" i="39"/>
  <c r="F33" i="39"/>
  <c r="N32" i="39"/>
  <c r="M32" i="39"/>
  <c r="L32" i="39"/>
  <c r="K32" i="39"/>
  <c r="J32" i="39"/>
  <c r="I32" i="39"/>
  <c r="H32" i="39"/>
  <c r="G32" i="39"/>
  <c r="F32" i="39"/>
  <c r="N31" i="39"/>
  <c r="M31" i="39"/>
  <c r="L31" i="39"/>
  <c r="K31" i="39"/>
  <c r="I31" i="39"/>
  <c r="H31" i="39"/>
  <c r="G31" i="39"/>
  <c r="F31" i="39"/>
  <c r="N30" i="39"/>
  <c r="M30" i="39"/>
  <c r="L30" i="39"/>
  <c r="K30" i="39"/>
  <c r="I30" i="39"/>
  <c r="H30" i="39"/>
  <c r="G30" i="39"/>
  <c r="F30" i="39"/>
  <c r="N27" i="39"/>
  <c r="M27" i="39"/>
  <c r="L27" i="39"/>
  <c r="K27" i="39"/>
  <c r="I27" i="39"/>
  <c r="H27" i="39"/>
  <c r="G27" i="39"/>
  <c r="F27" i="39"/>
  <c r="N26" i="39"/>
  <c r="M26" i="39"/>
  <c r="L26" i="39"/>
  <c r="K26" i="39"/>
  <c r="J26" i="39"/>
  <c r="I26" i="39"/>
  <c r="H26" i="39"/>
  <c r="G26" i="39"/>
  <c r="F26" i="39"/>
  <c r="N25" i="39"/>
  <c r="M25" i="39"/>
  <c r="L25" i="39"/>
  <c r="K25" i="39"/>
  <c r="J25" i="39"/>
  <c r="I25" i="39"/>
  <c r="H25" i="39"/>
  <c r="G25" i="39"/>
  <c r="F25" i="39"/>
  <c r="N24" i="39"/>
  <c r="M24" i="39"/>
  <c r="L24" i="39"/>
  <c r="K24" i="39"/>
  <c r="I24" i="39"/>
  <c r="H24" i="39"/>
  <c r="G24" i="39"/>
  <c r="F24" i="39"/>
  <c r="N23" i="39"/>
  <c r="M23" i="39"/>
  <c r="L23" i="39"/>
  <c r="K23" i="39"/>
  <c r="J23" i="39"/>
  <c r="I23" i="39"/>
  <c r="H23" i="39"/>
  <c r="G23" i="39"/>
  <c r="F23" i="39"/>
  <c r="N22" i="39"/>
  <c r="M22" i="39"/>
  <c r="L22" i="39"/>
  <c r="K22" i="39"/>
  <c r="J22" i="39"/>
  <c r="I22" i="39"/>
  <c r="H22" i="39"/>
  <c r="G22" i="39"/>
  <c r="F22" i="39"/>
  <c r="N21" i="39"/>
  <c r="M21" i="39"/>
  <c r="L21" i="39"/>
  <c r="K21" i="39"/>
  <c r="I21" i="39"/>
  <c r="H21" i="39"/>
  <c r="G21" i="39"/>
  <c r="F21" i="39"/>
  <c r="N20" i="39"/>
  <c r="M20" i="39"/>
  <c r="L20" i="39"/>
  <c r="K20" i="39"/>
  <c r="I20" i="39"/>
  <c r="N19" i="39"/>
  <c r="M19" i="39"/>
  <c r="L19" i="39"/>
  <c r="K19" i="39"/>
  <c r="I19" i="39"/>
  <c r="H19" i="39"/>
  <c r="G19" i="39"/>
  <c r="F19" i="39"/>
  <c r="N18" i="39"/>
  <c r="M18" i="39"/>
  <c r="L18" i="39"/>
  <c r="K18" i="39"/>
  <c r="J18" i="39"/>
  <c r="I18" i="39"/>
  <c r="H18" i="39"/>
  <c r="G18" i="39"/>
  <c r="F18" i="39"/>
  <c r="N17" i="39"/>
  <c r="M17" i="39"/>
  <c r="L17" i="39"/>
  <c r="K17" i="39"/>
  <c r="J17" i="39"/>
  <c r="I17" i="39"/>
  <c r="H17" i="39"/>
  <c r="G17" i="39"/>
  <c r="F17" i="39"/>
  <c r="N16" i="39"/>
  <c r="M16" i="39"/>
  <c r="L16" i="39"/>
  <c r="K16" i="39"/>
  <c r="I16" i="39"/>
  <c r="H16" i="39"/>
  <c r="G16" i="39"/>
  <c r="F16" i="39"/>
  <c r="N15" i="39"/>
  <c r="M15" i="39"/>
  <c r="L15" i="39"/>
  <c r="K15" i="39"/>
  <c r="I15" i="39"/>
  <c r="H15" i="39"/>
  <c r="G15" i="39"/>
  <c r="F15" i="39"/>
  <c r="N14" i="39"/>
  <c r="M14" i="39"/>
  <c r="L14" i="39"/>
  <c r="K14" i="39"/>
  <c r="I14" i="39"/>
  <c r="H14" i="39"/>
  <c r="G14" i="39"/>
  <c r="F14" i="39"/>
  <c r="N13" i="39"/>
  <c r="M13" i="39"/>
  <c r="L13" i="39"/>
  <c r="K13" i="39"/>
  <c r="I13" i="39"/>
  <c r="H13" i="39"/>
  <c r="G13" i="39"/>
  <c r="F13" i="39"/>
  <c r="N12" i="39"/>
  <c r="M12" i="39"/>
  <c r="L12" i="39"/>
  <c r="K12" i="39"/>
  <c r="I12" i="39"/>
  <c r="H12" i="39"/>
  <c r="G12" i="39"/>
  <c r="F12" i="39"/>
  <c r="N11" i="39"/>
  <c r="M11" i="39"/>
  <c r="L11" i="39"/>
  <c r="K11" i="39"/>
  <c r="I11" i="39"/>
  <c r="H11" i="39"/>
  <c r="G11" i="39"/>
  <c r="F11" i="39"/>
  <c r="N10" i="39"/>
  <c r="L10" i="39"/>
  <c r="K10" i="39"/>
  <c r="I10" i="39"/>
  <c r="N9" i="39"/>
  <c r="M9" i="39"/>
  <c r="L9" i="39"/>
  <c r="K9" i="39"/>
  <c r="I9" i="39"/>
  <c r="H9" i="39"/>
  <c r="G9" i="39"/>
  <c r="F9" i="39"/>
  <c r="N8" i="39"/>
  <c r="M8" i="39"/>
  <c r="L8" i="39"/>
  <c r="K8" i="39"/>
  <c r="J8" i="39"/>
  <c r="I8" i="39"/>
  <c r="H8" i="39"/>
  <c r="G8" i="39"/>
  <c r="F8" i="39"/>
  <c r="N7" i="39"/>
  <c r="M7" i="39"/>
  <c r="L7" i="39"/>
  <c r="K7" i="39"/>
  <c r="I7" i="39"/>
  <c r="H7" i="39"/>
  <c r="G7" i="39"/>
  <c r="F7" i="39"/>
  <c r="N6" i="39"/>
  <c r="M6" i="39"/>
  <c r="L6" i="39"/>
  <c r="K6" i="39"/>
  <c r="I6" i="39"/>
  <c r="H6" i="39"/>
  <c r="G6" i="39"/>
  <c r="F6" i="39"/>
  <c r="F56" i="26"/>
  <c r="F57" i="26"/>
  <c r="F58" i="26"/>
  <c r="F59" i="26"/>
  <c r="F60" i="26"/>
  <c r="F61" i="26"/>
  <c r="F62" i="26"/>
  <c r="F63" i="26"/>
  <c r="F64" i="26"/>
  <c r="F65" i="26"/>
  <c r="F66" i="26"/>
  <c r="F67" i="26"/>
  <c r="F68" i="26"/>
  <c r="F55" i="26"/>
  <c r="D66" i="26"/>
  <c r="D63" i="26"/>
  <c r="D61" i="26"/>
  <c r="D58" i="26"/>
  <c r="D55" i="26"/>
  <c r="F46" i="26"/>
  <c r="F47" i="26"/>
  <c r="F48" i="26"/>
  <c r="F49" i="26"/>
  <c r="F50" i="26"/>
  <c r="F45" i="26"/>
  <c r="D50" i="26"/>
  <c r="D49" i="26"/>
  <c r="D48" i="26"/>
  <c r="D47" i="26"/>
  <c r="D46" i="26"/>
  <c r="D45" i="26"/>
  <c r="E40" i="26"/>
  <c r="D14" i="9"/>
  <c r="E41" i="26"/>
  <c r="D15" i="9"/>
  <c r="E42" i="26"/>
  <c r="D16" i="9"/>
  <c r="E43" i="26"/>
  <c r="D17" i="9"/>
  <c r="E35" i="26"/>
  <c r="D9" i="9"/>
  <c r="E36" i="26"/>
  <c r="D10" i="9"/>
  <c r="E37" i="26"/>
  <c r="D11" i="9"/>
  <c r="E38" i="26"/>
  <c r="D12" i="9"/>
  <c r="E39" i="26"/>
  <c r="D13" i="9"/>
  <c r="E30" i="26"/>
  <c r="D4" i="9"/>
  <c r="E31" i="26"/>
  <c r="D5" i="9"/>
  <c r="E32" i="26"/>
  <c r="D6" i="9"/>
  <c r="E33" i="26"/>
  <c r="D7" i="9"/>
  <c r="E34" i="26"/>
  <c r="D8" i="9"/>
  <c r="E29" i="26"/>
  <c r="D3" i="9"/>
  <c r="J4" i="35"/>
  <c r="K4" i="35"/>
  <c r="G62" i="21"/>
  <c r="G61" i="21"/>
  <c r="G60" i="21"/>
  <c r="G59" i="21"/>
  <c r="G58" i="21"/>
  <c r="G57" i="21"/>
  <c r="G56" i="21"/>
  <c r="G55" i="21"/>
  <c r="G54" i="21"/>
  <c r="G53" i="21"/>
  <c r="G52" i="21"/>
  <c r="G51" i="21"/>
  <c r="G50" i="21"/>
  <c r="G49" i="21"/>
  <c r="G48" i="21"/>
  <c r="H51" i="26"/>
  <c r="G32" i="21"/>
  <c r="G31" i="21"/>
  <c r="G30" i="21"/>
  <c r="G29" i="21"/>
  <c r="G28" i="21"/>
  <c r="G27" i="21"/>
  <c r="G26" i="21"/>
  <c r="G25" i="21"/>
  <c r="G24" i="21"/>
  <c r="G23" i="21"/>
  <c r="G22" i="21"/>
  <c r="G21" i="21"/>
  <c r="G20" i="21"/>
  <c r="G19" i="21"/>
  <c r="G18" i="21"/>
  <c r="G17" i="21"/>
  <c r="G13" i="21"/>
  <c r="G12" i="21"/>
  <c r="G11" i="21"/>
  <c r="G10" i="21"/>
  <c r="G9" i="21"/>
  <c r="G8" i="21"/>
  <c r="H29" i="26"/>
  <c r="S19" i="32"/>
  <c r="S18" i="32"/>
  <c r="S17" i="32"/>
  <c r="O19" i="32"/>
  <c r="O18" i="32"/>
  <c r="O17" i="32"/>
  <c r="K18" i="32"/>
  <c r="K17" i="32"/>
  <c r="G19" i="32"/>
  <c r="G18" i="32"/>
  <c r="G17" i="32"/>
  <c r="C19" i="32"/>
  <c r="C18" i="32"/>
  <c r="C17" i="32"/>
  <c r="W14" i="32"/>
  <c r="S13" i="32"/>
  <c r="O13" i="32"/>
  <c r="AV43" i="32"/>
  <c r="AV42" i="32"/>
  <c r="AV41" i="32"/>
  <c r="AV40" i="32"/>
  <c r="AV39" i="32"/>
  <c r="AV38" i="32"/>
  <c r="AV37" i="32"/>
  <c r="AV36" i="32"/>
  <c r="AV35" i="32"/>
  <c r="AV34" i="32"/>
  <c r="AV33" i="32"/>
  <c r="AV32" i="32"/>
  <c r="AV31" i="32"/>
  <c r="AV30" i="32"/>
  <c r="AP36" i="32"/>
  <c r="AP35" i="32"/>
  <c r="AP34" i="32"/>
  <c r="AP33" i="32"/>
  <c r="AP32" i="32"/>
  <c r="AP31" i="32"/>
  <c r="AP30" i="32"/>
  <c r="AJ44" i="32"/>
  <c r="AJ43" i="32"/>
  <c r="AJ42" i="32"/>
  <c r="AJ41" i="32"/>
  <c r="AJ40" i="32"/>
  <c r="AJ39" i="32"/>
  <c r="AJ38" i="32"/>
  <c r="AJ37" i="32"/>
  <c r="AJ36" i="32"/>
  <c r="AJ35" i="32"/>
  <c r="AJ34" i="32"/>
  <c r="AJ33" i="32"/>
  <c r="AJ32" i="32"/>
  <c r="AJ31" i="32"/>
  <c r="AJ30" i="32"/>
  <c r="B38" i="9"/>
  <c r="B35" i="9"/>
  <c r="B33" i="9"/>
  <c r="B30" i="9"/>
  <c r="B27" i="9"/>
  <c r="B23" i="9"/>
  <c r="B22" i="9"/>
  <c r="B21" i="9"/>
  <c r="B20" i="9"/>
  <c r="B19" i="9"/>
  <c r="B18" i="9"/>
  <c r="B15" i="9"/>
  <c r="B14" i="9"/>
  <c r="B10" i="9"/>
  <c r="B7" i="9"/>
  <c r="B3" i="9"/>
  <c r="L4" i="35"/>
  <c r="L4" i="37"/>
  <c r="K4" i="37"/>
  <c r="J4" i="37"/>
  <c r="J4" i="38"/>
  <c r="L4" i="38"/>
  <c r="K4" i="38"/>
  <c r="H62" i="21"/>
  <c r="F62" i="21"/>
  <c r="I40" i="9"/>
  <c r="E62" i="21"/>
  <c r="F40" i="9"/>
  <c r="H61" i="21"/>
  <c r="F61" i="21"/>
  <c r="I39" i="9"/>
  <c r="E61" i="21"/>
  <c r="F39" i="9"/>
  <c r="H60" i="21"/>
  <c r="F60" i="21"/>
  <c r="I38" i="9"/>
  <c r="E60" i="21"/>
  <c r="F38" i="9"/>
  <c r="H59" i="21"/>
  <c r="F59" i="21"/>
  <c r="I37" i="9"/>
  <c r="E59" i="21"/>
  <c r="F37" i="9"/>
  <c r="H58" i="21"/>
  <c r="F58" i="21"/>
  <c r="I36" i="9"/>
  <c r="E58" i="21"/>
  <c r="F36" i="9"/>
  <c r="H57" i="21"/>
  <c r="F57" i="21"/>
  <c r="I35" i="9"/>
  <c r="E57" i="21"/>
  <c r="F35" i="9"/>
  <c r="H56" i="21"/>
  <c r="F56" i="21"/>
  <c r="I34" i="9"/>
  <c r="E56" i="21"/>
  <c r="F34" i="9"/>
  <c r="H55" i="21"/>
  <c r="F55" i="21"/>
  <c r="I33" i="9"/>
  <c r="E55" i="21"/>
  <c r="F33" i="9"/>
  <c r="H54" i="21"/>
  <c r="F54" i="21"/>
  <c r="I32" i="9"/>
  <c r="E54" i="21"/>
  <c r="F32" i="9"/>
  <c r="H53" i="21"/>
  <c r="F53" i="21"/>
  <c r="I31" i="9"/>
  <c r="E53" i="21"/>
  <c r="F31" i="9"/>
  <c r="H52" i="21"/>
  <c r="F52" i="21"/>
  <c r="I30" i="9"/>
  <c r="E52" i="21"/>
  <c r="F30" i="9"/>
  <c r="H51" i="21"/>
  <c r="F51" i="21"/>
  <c r="E51" i="21"/>
  <c r="H50" i="21"/>
  <c r="F50" i="21"/>
  <c r="I29" i="9"/>
  <c r="E50" i="21"/>
  <c r="F29" i="9"/>
  <c r="H49" i="21"/>
  <c r="F49" i="21"/>
  <c r="I28" i="9"/>
  <c r="E49" i="21"/>
  <c r="F28" i="9"/>
  <c r="H48" i="21"/>
  <c r="F48" i="21"/>
  <c r="I27" i="9"/>
  <c r="E48" i="21"/>
  <c r="F27" i="9"/>
  <c r="H45" i="21"/>
  <c r="F45" i="21"/>
  <c r="I24" i="9"/>
  <c r="E45" i="21"/>
  <c r="F24" i="9"/>
  <c r="H44" i="21"/>
  <c r="F44" i="21"/>
  <c r="I23" i="9"/>
  <c r="E44" i="21"/>
  <c r="F23" i="9"/>
  <c r="H43" i="21"/>
  <c r="F43" i="21"/>
  <c r="E43" i="21"/>
  <c r="H42" i="21"/>
  <c r="F42" i="21"/>
  <c r="E42" i="21"/>
  <c r="F22" i="9"/>
  <c r="H41" i="21"/>
  <c r="F41" i="21"/>
  <c r="E41" i="21"/>
  <c r="H40" i="21"/>
  <c r="F40" i="21"/>
  <c r="I21" i="9"/>
  <c r="E40" i="21"/>
  <c r="F21" i="9"/>
  <c r="H39" i="21"/>
  <c r="F39" i="21"/>
  <c r="I20" i="9"/>
  <c r="E39" i="21"/>
  <c r="F20" i="9"/>
  <c r="H38" i="21"/>
  <c r="F38" i="21"/>
  <c r="I19" i="9"/>
  <c r="E38" i="21"/>
  <c r="F19" i="9"/>
  <c r="H37" i="21"/>
  <c r="F37" i="21"/>
  <c r="I18" i="9"/>
  <c r="E37" i="21"/>
  <c r="F18" i="9"/>
  <c r="H32" i="21"/>
  <c r="F32" i="21"/>
  <c r="E32" i="21"/>
  <c r="H31" i="21"/>
  <c r="F31" i="21"/>
  <c r="I17" i="9"/>
  <c r="E31" i="21"/>
  <c r="F17" i="9"/>
  <c r="H30" i="21"/>
  <c r="F30" i="21"/>
  <c r="E30" i="21"/>
  <c r="H29" i="21"/>
  <c r="F29" i="21"/>
  <c r="I16" i="9"/>
  <c r="E29" i="21"/>
  <c r="F16" i="9"/>
  <c r="H28" i="21"/>
  <c r="F28" i="21"/>
  <c r="E28" i="21"/>
  <c r="H27" i="21"/>
  <c r="F27" i="21"/>
  <c r="I15" i="9"/>
  <c r="E27" i="21"/>
  <c r="F15" i="9"/>
  <c r="H26" i="21"/>
  <c r="F26" i="21"/>
  <c r="I14" i="9"/>
  <c r="E26" i="21"/>
  <c r="F14" i="9"/>
  <c r="H25" i="21"/>
  <c r="F25" i="21"/>
  <c r="E25" i="21"/>
  <c r="H24" i="21"/>
  <c r="F24" i="21"/>
  <c r="E24" i="21"/>
  <c r="H23" i="21"/>
  <c r="F23" i="21"/>
  <c r="E23" i="21"/>
  <c r="H22" i="21"/>
  <c r="F22" i="21"/>
  <c r="I13" i="9"/>
  <c r="E22" i="21"/>
  <c r="F13" i="9"/>
  <c r="H21" i="21"/>
  <c r="F21" i="21"/>
  <c r="I12" i="9"/>
  <c r="E21" i="21"/>
  <c r="F12" i="9"/>
  <c r="H20" i="21"/>
  <c r="F20" i="21"/>
  <c r="E20" i="21"/>
  <c r="H19" i="21"/>
  <c r="F19" i="21"/>
  <c r="I11" i="9"/>
  <c r="E19" i="21"/>
  <c r="F11" i="9"/>
  <c r="H18" i="21"/>
  <c r="F18" i="21"/>
  <c r="I10" i="9"/>
  <c r="E18" i="21"/>
  <c r="F10" i="9"/>
  <c r="H17" i="21"/>
  <c r="F17" i="21"/>
  <c r="I9" i="9"/>
  <c r="E17" i="21"/>
  <c r="F9" i="9"/>
  <c r="G9" i="9"/>
  <c r="H13" i="21"/>
  <c r="F13" i="21"/>
  <c r="I8" i="9"/>
  <c r="E13" i="21"/>
  <c r="F8" i="9"/>
  <c r="H12" i="21"/>
  <c r="F12" i="21"/>
  <c r="I7" i="9"/>
  <c r="E12" i="21"/>
  <c r="F7" i="9"/>
  <c r="H11" i="21"/>
  <c r="F11" i="21"/>
  <c r="I6" i="9"/>
  <c r="E11" i="21"/>
  <c r="F6" i="9"/>
  <c r="H10" i="21"/>
  <c r="F10" i="21"/>
  <c r="I5" i="9"/>
  <c r="E10" i="21"/>
  <c r="F5" i="9"/>
  <c r="H9" i="21"/>
  <c r="F9" i="21"/>
  <c r="I4" i="9"/>
  <c r="E9" i="21"/>
  <c r="F4" i="9"/>
  <c r="H8" i="21"/>
  <c r="F8" i="21"/>
  <c r="I3" i="9"/>
  <c r="E8" i="21"/>
  <c r="F3" i="9"/>
  <c r="N2" i="9"/>
  <c r="N3" i="9" a="1"/>
  <c r="N3" i="9"/>
  <c r="E4" i="21"/>
  <c r="B4" i="21"/>
  <c r="D3" i="26"/>
  <c r="J20" i="38"/>
  <c r="L18" i="38"/>
  <c r="N16" i="38"/>
  <c r="K15" i="38"/>
  <c r="M13" i="38"/>
  <c r="J12" i="38"/>
  <c r="L10" i="38"/>
  <c r="N8" i="38"/>
  <c r="K7" i="38"/>
  <c r="L19" i="38"/>
  <c r="J13" i="38"/>
  <c r="N9" i="38"/>
  <c r="K19" i="38"/>
  <c r="J16" i="38"/>
  <c r="N12" i="38"/>
  <c r="M9" i="38"/>
  <c r="J19" i="38"/>
  <c r="J11" i="38"/>
  <c r="N7" i="38"/>
  <c r="K17" i="38"/>
  <c r="L12" i="38"/>
  <c r="K9" i="38"/>
  <c r="N19" i="38"/>
  <c r="K18" i="38"/>
  <c r="M16" i="38"/>
  <c r="J15" i="38"/>
  <c r="L13" i="38"/>
  <c r="N11" i="38"/>
  <c r="K10" i="38"/>
  <c r="M8" i="38"/>
  <c r="J7" i="38"/>
  <c r="N17" i="38"/>
  <c r="M7" i="38"/>
  <c r="M19" i="38"/>
  <c r="J18" i="38"/>
  <c r="L16" i="38"/>
  <c r="N14" i="38"/>
  <c r="K13" i="38"/>
  <c r="M11" i="38"/>
  <c r="J10" i="38"/>
  <c r="L8" i="38"/>
  <c r="K16" i="38"/>
  <c r="M14" i="38"/>
  <c r="L11" i="38"/>
  <c r="N20" i="38"/>
  <c r="L14" i="38"/>
  <c r="K11" i="38"/>
  <c r="L17" i="38"/>
  <c r="K14" i="38"/>
  <c r="M12" i="38"/>
  <c r="L9" i="38"/>
  <c r="N18" i="38"/>
  <c r="J14" i="38"/>
  <c r="N10" i="38"/>
  <c r="M20" i="38"/>
  <c r="L20" i="38"/>
  <c r="K20" i="38"/>
  <c r="M18" i="38"/>
  <c r="J17" i="38"/>
  <c r="L15" i="38"/>
  <c r="N13" i="38"/>
  <c r="K12" i="38"/>
  <c r="M10" i="38"/>
  <c r="J9" i="38"/>
  <c r="L7" i="38"/>
  <c r="K8" i="38"/>
  <c r="M17" i="38"/>
  <c r="J8" i="38"/>
  <c r="N15" i="38"/>
  <c r="M15" i="38"/>
  <c r="M20" i="37"/>
  <c r="J19" i="37"/>
  <c r="L17" i="37"/>
  <c r="N15" i="37"/>
  <c r="K14" i="37"/>
  <c r="M12" i="37"/>
  <c r="J11" i="37"/>
  <c r="L9" i="37"/>
  <c r="N7" i="37"/>
  <c r="J20" i="37"/>
  <c r="K7" i="37"/>
  <c r="L21" i="37"/>
  <c r="M8" i="37"/>
  <c r="M19" i="37"/>
  <c r="L16" i="37"/>
  <c r="M11" i="37"/>
  <c r="N17" i="37"/>
  <c r="K8" i="37"/>
  <c r="L20" i="37"/>
  <c r="N18" i="37"/>
  <c r="K17" i="37"/>
  <c r="M15" i="37"/>
  <c r="J14" i="37"/>
  <c r="L12" i="37"/>
  <c r="N10" i="37"/>
  <c r="K9" i="37"/>
  <c r="M7" i="37"/>
  <c r="M16" i="37"/>
  <c r="N14" i="37"/>
  <c r="N21" i="37"/>
  <c r="K20" i="37"/>
  <c r="M18" i="37"/>
  <c r="J17" i="37"/>
  <c r="L15" i="37"/>
  <c r="N13" i="37"/>
  <c r="K12" i="37"/>
  <c r="M10" i="37"/>
  <c r="J9" i="37"/>
  <c r="L7" i="37"/>
  <c r="M21" i="37"/>
  <c r="L18" i="37"/>
  <c r="N16" i="37"/>
  <c r="K15" i="37"/>
  <c r="M13" i="37"/>
  <c r="L10" i="37"/>
  <c r="N8" i="37"/>
  <c r="N19" i="37"/>
  <c r="L13" i="37"/>
  <c r="J7" i="37"/>
  <c r="K21" i="37"/>
  <c r="J10" i="37"/>
  <c r="J21" i="37"/>
  <c r="K16" i="37"/>
  <c r="M14" i="37"/>
  <c r="J13" i="37"/>
  <c r="N9" i="37"/>
  <c r="N20" i="37"/>
  <c r="K19" i="37"/>
  <c r="M17" i="37"/>
  <c r="J16" i="37"/>
  <c r="L14" i="37"/>
  <c r="N12" i="37"/>
  <c r="K11" i="37"/>
  <c r="M9" i="37"/>
  <c r="J8" i="37"/>
  <c r="J12" i="37"/>
  <c r="K18" i="37"/>
  <c r="J15" i="37"/>
  <c r="N11" i="37"/>
  <c r="K10" i="37"/>
  <c r="J18" i="37"/>
  <c r="K13" i="37"/>
  <c r="L8" i="37"/>
  <c r="L19" i="37"/>
  <c r="L11" i="37"/>
  <c r="K15" i="35"/>
  <c r="M13" i="35"/>
  <c r="J12" i="35"/>
  <c r="L10" i="35"/>
  <c r="N8" i="35"/>
  <c r="K7" i="35"/>
  <c r="L11" i="35"/>
  <c r="K8" i="35"/>
  <c r="N12" i="35"/>
  <c r="N15" i="35"/>
  <c r="J11" i="35"/>
  <c r="N7" i="35"/>
  <c r="N10" i="35"/>
  <c r="J15" i="35"/>
  <c r="L13" i="35"/>
  <c r="N11" i="35"/>
  <c r="K10" i="35"/>
  <c r="M8" i="35"/>
  <c r="J7" i="35"/>
  <c r="N9" i="35"/>
  <c r="M9" i="35"/>
  <c r="L12" i="35"/>
  <c r="N14" i="35"/>
  <c r="K13" i="35"/>
  <c r="M11" i="35"/>
  <c r="J10" i="35"/>
  <c r="L8" i="35"/>
  <c r="J13" i="35"/>
  <c r="K11" i="35"/>
  <c r="K14" i="35"/>
  <c r="L9" i="35"/>
  <c r="J14" i="35"/>
  <c r="M7" i="35"/>
  <c r="L15" i="35"/>
  <c r="N13" i="35"/>
  <c r="K12" i="35"/>
  <c r="M10" i="35"/>
  <c r="J9" i="35"/>
  <c r="L7" i="35"/>
  <c r="M14" i="35"/>
  <c r="L14" i="35"/>
  <c r="J8" i="35"/>
  <c r="M12" i="35"/>
  <c r="M15" i="35"/>
  <c r="K9" i="35"/>
  <c r="Z5" i="41"/>
  <c r="J18" i="41"/>
  <c r="K18" i="41"/>
  <c r="L18" i="41"/>
  <c r="M18" i="41"/>
  <c r="AL48" i="32"/>
  <c r="I22" i="9"/>
  <c r="AB3" i="9"/>
  <c r="AL49" i="32"/>
  <c r="L22" i="37"/>
  <c r="M22" i="37"/>
  <c r="J22" i="37"/>
  <c r="K22" i="37"/>
  <c r="N22" i="37"/>
  <c r="AL50" i="32"/>
  <c r="AL47" i="32"/>
  <c r="P2" i="9" a="1"/>
  <c r="P2" i="9"/>
  <c r="P3" i="9" a="1"/>
  <c r="P3" i="9"/>
  <c r="H55" i="26"/>
  <c r="H56" i="26"/>
  <c r="AN52" i="32"/>
  <c r="AN53" i="32"/>
  <c r="AA3" i="9"/>
  <c r="Z3" i="9"/>
  <c r="H22" i="9"/>
  <c r="AR34" i="32"/>
  <c r="U13" i="32"/>
  <c r="M27" i="32"/>
  <c r="D47" i="32"/>
  <c r="D37" i="32"/>
  <c r="D38" i="32"/>
  <c r="D29" i="32"/>
  <c r="D42" i="32"/>
  <c r="D40" i="32"/>
  <c r="D43" i="32"/>
  <c r="D36" i="32"/>
  <c r="D34" i="32"/>
  <c r="D32" i="32"/>
  <c r="D46" i="32"/>
  <c r="D35" i="32"/>
  <c r="D30" i="32"/>
  <c r="D44" i="32"/>
  <c r="D27" i="32"/>
  <c r="D41" i="32"/>
  <c r="D39" i="32"/>
  <c r="D33" i="32"/>
  <c r="D31" i="32"/>
  <c r="D45" i="32"/>
  <c r="D28" i="32"/>
  <c r="V27" i="32"/>
  <c r="L42" i="32"/>
  <c r="L46" i="32"/>
  <c r="L32" i="32"/>
  <c r="L37" i="32"/>
  <c r="L45" i="32"/>
  <c r="L33" i="32"/>
  <c r="L34" i="32"/>
  <c r="L47" i="32"/>
  <c r="L30" i="32"/>
  <c r="L31" i="32"/>
  <c r="L41" i="32"/>
  <c r="L36" i="32"/>
  <c r="L28" i="32"/>
  <c r="L35" i="32"/>
  <c r="L38" i="32"/>
  <c r="L27" i="32"/>
  <c r="L43" i="32"/>
  <c r="L29" i="32"/>
  <c r="K39" i="32"/>
  <c r="L39" i="32"/>
  <c r="L44" i="32"/>
  <c r="L40" i="32"/>
  <c r="K40" i="32"/>
  <c r="D26" i="32"/>
  <c r="E41" i="9"/>
  <c r="L26" i="32"/>
  <c r="M26" i="32"/>
  <c r="A1" i="9"/>
  <c r="V26" i="32"/>
  <c r="W3" i="9"/>
  <c r="P28" i="26"/>
  <c r="P72" i="26"/>
  <c r="P71" i="26"/>
  <c r="P68" i="26"/>
  <c r="P67" i="26"/>
  <c r="P66" i="26"/>
  <c r="P65" i="26"/>
  <c r="P64" i="26"/>
  <c r="P63" i="26"/>
  <c r="P62" i="26"/>
  <c r="P61" i="26"/>
  <c r="P60" i="26"/>
  <c r="P59" i="26"/>
  <c r="P58" i="26"/>
  <c r="P57" i="26"/>
  <c r="P56" i="26"/>
  <c r="P55" i="26"/>
  <c r="P43" i="26"/>
  <c r="P42" i="26"/>
  <c r="P40" i="26"/>
  <c r="P39" i="26"/>
  <c r="P38" i="26"/>
  <c r="P37" i="26"/>
  <c r="P36" i="26"/>
  <c r="P35" i="26"/>
  <c r="P34" i="26"/>
  <c r="P33" i="26"/>
  <c r="P32" i="26"/>
  <c r="P31" i="26"/>
  <c r="P30" i="26"/>
  <c r="P53" i="26"/>
  <c r="P50" i="26"/>
  <c r="P49" i="26"/>
  <c r="P48" i="26"/>
  <c r="P47" i="26"/>
  <c r="P46" i="26"/>
  <c r="P29" i="26"/>
  <c r="P41" i="26"/>
  <c r="P45" i="26"/>
  <c r="P70" i="26"/>
  <c r="H28" i="9"/>
  <c r="AX31" i="32"/>
  <c r="H29" i="9"/>
  <c r="H30" i="9"/>
  <c r="H31" i="9"/>
  <c r="H32" i="9"/>
  <c r="H33" i="9"/>
  <c r="AX36" i="32"/>
  <c r="H34" i="9"/>
  <c r="AX37" i="32"/>
  <c r="H35" i="9"/>
  <c r="AX38" i="32"/>
  <c r="H36" i="9"/>
  <c r="AX39" i="32"/>
  <c r="H37" i="9"/>
  <c r="H38" i="9"/>
  <c r="H39" i="9"/>
  <c r="H40" i="9"/>
  <c r="AX43" i="32"/>
  <c r="H27" i="9"/>
  <c r="AX35" i="32"/>
  <c r="K45" i="32"/>
  <c r="AX42" i="32"/>
  <c r="K47" i="32"/>
  <c r="AX34" i="32"/>
  <c r="K44" i="32"/>
  <c r="AX30" i="32"/>
  <c r="K41" i="32"/>
  <c r="AX41" i="32"/>
  <c r="K46" i="32"/>
  <c r="AX33" i="32"/>
  <c r="K43" i="32"/>
  <c r="AX40" i="32"/>
  <c r="U27" i="32"/>
  <c r="AX32" i="32"/>
  <c r="K42" i="32"/>
  <c r="U18" i="32"/>
  <c r="U17" i="32"/>
  <c r="I17" i="32"/>
  <c r="E18" i="32"/>
  <c r="Q19" i="32"/>
  <c r="Q18" i="32"/>
  <c r="Q17" i="32"/>
  <c r="M18" i="32"/>
  <c r="M17" i="32"/>
  <c r="I19" i="32"/>
  <c r="U19" i="32"/>
  <c r="E19" i="32"/>
  <c r="I18" i="32"/>
  <c r="O28" i="26"/>
  <c r="H45" i="26"/>
  <c r="H57" i="26"/>
  <c r="H58" i="26"/>
  <c r="H59" i="26"/>
  <c r="H60" i="26"/>
  <c r="H61" i="26"/>
  <c r="H62" i="26"/>
  <c r="H63" i="26"/>
  <c r="H64" i="26"/>
  <c r="H65" i="26"/>
  <c r="H66" i="26"/>
  <c r="H67" i="26"/>
  <c r="H68" i="26"/>
  <c r="H48" i="26"/>
  <c r="H49" i="26"/>
  <c r="H50" i="26"/>
  <c r="H46" i="26"/>
  <c r="H47" i="26"/>
  <c r="C41" i="9"/>
  <c r="W40" i="9"/>
  <c r="W39" i="9"/>
  <c r="G67" i="26"/>
  <c r="W38" i="9"/>
  <c r="W37" i="9"/>
  <c r="G65" i="26"/>
  <c r="W36" i="9"/>
  <c r="W35" i="9"/>
  <c r="W34" i="9"/>
  <c r="W33" i="9"/>
  <c r="W32" i="9"/>
  <c r="G60" i="26"/>
  <c r="W31" i="9"/>
  <c r="G59" i="26"/>
  <c r="W30" i="9"/>
  <c r="W29" i="9"/>
  <c r="W28" i="9"/>
  <c r="W27" i="9"/>
  <c r="W24" i="9"/>
  <c r="H24" i="9"/>
  <c r="AR36" i="32"/>
  <c r="W23" i="9"/>
  <c r="W22" i="9"/>
  <c r="G21" i="9"/>
  <c r="W21" i="9"/>
  <c r="W20" i="9"/>
  <c r="G20" i="9"/>
  <c r="W19" i="9"/>
  <c r="G19" i="9"/>
  <c r="W18" i="9"/>
  <c r="G18" i="9"/>
  <c r="W17" i="9"/>
  <c r="W16" i="9"/>
  <c r="W15" i="9"/>
  <c r="W14" i="9"/>
  <c r="G14" i="9"/>
  <c r="W13" i="9"/>
  <c r="W12" i="9"/>
  <c r="W11" i="9"/>
  <c r="W10" i="9"/>
  <c r="W9" i="9"/>
  <c r="H9" i="9"/>
  <c r="W8" i="9"/>
  <c r="W7" i="9"/>
  <c r="H7" i="9"/>
  <c r="W6" i="9"/>
  <c r="W5" i="9"/>
  <c r="H5" i="9"/>
  <c r="AL32" i="32"/>
  <c r="W4" i="9"/>
  <c r="V3" i="9"/>
  <c r="U3" i="9"/>
  <c r="T3" i="9"/>
  <c r="N68" i="26"/>
  <c r="M68" i="26"/>
  <c r="N67" i="26"/>
  <c r="M67" i="26"/>
  <c r="N66" i="26"/>
  <c r="M66" i="26"/>
  <c r="N65" i="26"/>
  <c r="M65" i="26"/>
  <c r="N64" i="26"/>
  <c r="M64" i="26"/>
  <c r="N63" i="26"/>
  <c r="M63" i="26"/>
  <c r="N62" i="26"/>
  <c r="M62" i="26"/>
  <c r="N61" i="26"/>
  <c r="M61" i="26"/>
  <c r="N60" i="26"/>
  <c r="M60" i="26"/>
  <c r="N59" i="26"/>
  <c r="M59" i="26"/>
  <c r="N58" i="26"/>
  <c r="M58" i="26"/>
  <c r="N57" i="26"/>
  <c r="M57" i="26"/>
  <c r="N56" i="26"/>
  <c r="M56" i="26"/>
  <c r="N55" i="26"/>
  <c r="M55" i="26"/>
  <c r="N53" i="26"/>
  <c r="M53" i="26"/>
  <c r="N50" i="26"/>
  <c r="M50" i="26"/>
  <c r="N49" i="26"/>
  <c r="M49" i="26"/>
  <c r="N48" i="26"/>
  <c r="M48" i="26"/>
  <c r="N47" i="26"/>
  <c r="M47" i="26"/>
  <c r="N46" i="26"/>
  <c r="M46" i="26"/>
  <c r="N45" i="26"/>
  <c r="M45" i="26"/>
  <c r="N43" i="26"/>
  <c r="M43" i="26"/>
  <c r="H43" i="26"/>
  <c r="N42" i="26"/>
  <c r="M42" i="26"/>
  <c r="H42" i="26"/>
  <c r="N41" i="26"/>
  <c r="M41" i="26"/>
  <c r="H41" i="26"/>
  <c r="N40" i="26"/>
  <c r="M40" i="26"/>
  <c r="H40" i="26"/>
  <c r="N39" i="26"/>
  <c r="M39" i="26"/>
  <c r="H39" i="26"/>
  <c r="N38" i="26"/>
  <c r="M38" i="26"/>
  <c r="H38" i="26"/>
  <c r="N37" i="26"/>
  <c r="M37" i="26"/>
  <c r="H37" i="26"/>
  <c r="N36" i="26"/>
  <c r="M36" i="26"/>
  <c r="H36" i="26"/>
  <c r="N35" i="26"/>
  <c r="M35" i="26"/>
  <c r="H35" i="26"/>
  <c r="N34" i="26"/>
  <c r="M34" i="26"/>
  <c r="H34" i="26"/>
  <c r="N33" i="26"/>
  <c r="M33" i="26"/>
  <c r="H33" i="26"/>
  <c r="N32" i="26"/>
  <c r="M32" i="26"/>
  <c r="H32" i="26"/>
  <c r="N31" i="26"/>
  <c r="M31" i="26"/>
  <c r="H31" i="26"/>
  <c r="N30" i="26"/>
  <c r="M30" i="26"/>
  <c r="H30" i="26"/>
  <c r="N29" i="26"/>
  <c r="M29" i="26"/>
  <c r="AL34" i="32"/>
  <c r="K29" i="32"/>
  <c r="AL36" i="32"/>
  <c r="K30" i="32"/>
  <c r="Z7" i="41"/>
  <c r="J16" i="41"/>
  <c r="K16" i="41"/>
  <c r="L16" i="41"/>
  <c r="M16" i="41"/>
  <c r="Z10" i="41"/>
  <c r="J13" i="41"/>
  <c r="K13" i="41"/>
  <c r="L13" i="41"/>
  <c r="M13" i="41"/>
  <c r="Y14" i="32"/>
  <c r="I8" i="32"/>
  <c r="M7" i="32"/>
  <c r="E9" i="32"/>
  <c r="Z12" i="41"/>
  <c r="J11" i="41"/>
  <c r="K11" i="41"/>
  <c r="L11" i="41"/>
  <c r="M11" i="41"/>
  <c r="Z9" i="41"/>
  <c r="J14" i="41"/>
  <c r="K14" i="41"/>
  <c r="L14" i="41"/>
  <c r="M14" i="41"/>
  <c r="Z11" i="41"/>
  <c r="J12" i="41"/>
  <c r="K12" i="41"/>
  <c r="L12" i="41"/>
  <c r="M12" i="41"/>
  <c r="G51" i="26"/>
  <c r="L22" i="9"/>
  <c r="K22" i="9"/>
  <c r="J22" i="9"/>
  <c r="M22" i="9"/>
  <c r="G22" i="9"/>
  <c r="G23" i="9"/>
  <c r="G15" i="9"/>
  <c r="G30" i="9"/>
  <c r="G3" i="9"/>
  <c r="G7" i="9"/>
  <c r="G10" i="9"/>
  <c r="G33" i="9"/>
  <c r="G27" i="9"/>
  <c r="G35" i="9"/>
  <c r="G38" i="9"/>
  <c r="L4" i="9"/>
  <c r="R2" i="9"/>
  <c r="S2" i="9"/>
  <c r="S3" i="9" a="1"/>
  <c r="S3" i="9"/>
  <c r="H3" i="9"/>
  <c r="K26" i="32"/>
  <c r="G71" i="26"/>
  <c r="Y2" i="32"/>
  <c r="O2" i="32"/>
  <c r="Y3" i="9"/>
  <c r="AC3" i="32"/>
  <c r="Y5" i="9"/>
  <c r="H4" i="9"/>
  <c r="H6" i="9"/>
  <c r="H8" i="9"/>
  <c r="AL35" i="32"/>
  <c r="H11" i="9"/>
  <c r="AL38" i="32"/>
  <c r="H12" i="9"/>
  <c r="H13" i="9"/>
  <c r="H14" i="9"/>
  <c r="H15" i="9"/>
  <c r="H16" i="9"/>
  <c r="AL43" i="32"/>
  <c r="H17" i="9"/>
  <c r="H19" i="9"/>
  <c r="H20" i="9"/>
  <c r="H21" i="9"/>
  <c r="H23" i="9"/>
  <c r="AR35" i="32"/>
  <c r="Q28" i="26"/>
  <c r="G28" i="26"/>
  <c r="H18" i="9"/>
  <c r="H10" i="9"/>
  <c r="AL37" i="32"/>
  <c r="O29" i="26"/>
  <c r="G31" i="26"/>
  <c r="K9" i="9"/>
  <c r="B41" i="9"/>
  <c r="M13" i="9"/>
  <c r="K11" i="9"/>
  <c r="J30" i="9"/>
  <c r="J39" i="9"/>
  <c r="J34" i="9"/>
  <c r="L29" i="9"/>
  <c r="K29" i="9"/>
  <c r="G55" i="26"/>
  <c r="J24" i="9"/>
  <c r="M23" i="9"/>
  <c r="K21" i="9"/>
  <c r="L21" i="9"/>
  <c r="L16" i="9"/>
  <c r="K16" i="9"/>
  <c r="L11" i="9"/>
  <c r="K15" i="9"/>
  <c r="J14" i="9"/>
  <c r="M7" i="9"/>
  <c r="L17" i="9"/>
  <c r="J10" i="9"/>
  <c r="J19" i="9"/>
  <c r="L33" i="9"/>
  <c r="L9" i="9"/>
  <c r="K12" i="9"/>
  <c r="K17" i="9"/>
  <c r="J20" i="9"/>
  <c r="L24" i="9"/>
  <c r="L27" i="9"/>
  <c r="L38" i="9"/>
  <c r="L7" i="9"/>
  <c r="L12" i="9"/>
  <c r="J28" i="9"/>
  <c r="G33" i="26"/>
  <c r="J8" i="9"/>
  <c r="J13" i="9"/>
  <c r="L15" i="9"/>
  <c r="J23" i="9"/>
  <c r="K24" i="9"/>
  <c r="G56" i="26"/>
  <c r="G61" i="26"/>
  <c r="L40" i="9"/>
  <c r="D41" i="9"/>
  <c r="K6" i="9"/>
  <c r="L6" i="9"/>
  <c r="K4" i="9"/>
  <c r="M27" i="9"/>
  <c r="J31" i="9"/>
  <c r="K34" i="9"/>
  <c r="J36" i="9"/>
  <c r="K39" i="9"/>
  <c r="J27" i="9"/>
  <c r="L28" i="9"/>
  <c r="J29" i="9"/>
  <c r="M30" i="9"/>
  <c r="K31" i="9"/>
  <c r="M32" i="9"/>
  <c r="J33" i="9"/>
  <c r="L34" i="9"/>
  <c r="M35" i="9"/>
  <c r="K36" i="9"/>
  <c r="M37" i="9"/>
  <c r="J38" i="9"/>
  <c r="L39" i="9"/>
  <c r="J40" i="9"/>
  <c r="K30" i="9"/>
  <c r="M31" i="9"/>
  <c r="K32" i="9"/>
  <c r="K35" i="9"/>
  <c r="M36" i="9"/>
  <c r="K37" i="9"/>
  <c r="K28" i="9"/>
  <c r="M29" i="9"/>
  <c r="L30" i="9"/>
  <c r="L32" i="9"/>
  <c r="M33" i="9"/>
  <c r="L35" i="9"/>
  <c r="L37" i="9"/>
  <c r="M38" i="9"/>
  <c r="M40" i="9"/>
  <c r="K27" i="9"/>
  <c r="M28" i="9"/>
  <c r="L31" i="9"/>
  <c r="J32" i="9"/>
  <c r="K33" i="9"/>
  <c r="M34" i="9"/>
  <c r="J35" i="9"/>
  <c r="G64" i="26"/>
  <c r="L36" i="9"/>
  <c r="J37" i="9"/>
  <c r="K38" i="9"/>
  <c r="M39" i="9"/>
  <c r="K40" i="9"/>
  <c r="M18" i="9"/>
  <c r="K20" i="9"/>
  <c r="J18" i="9"/>
  <c r="K19" i="9"/>
  <c r="L20" i="9"/>
  <c r="M21" i="9"/>
  <c r="K23" i="9"/>
  <c r="M24" i="9"/>
  <c r="K18" i="9"/>
  <c r="L19" i="9"/>
  <c r="M20" i="9"/>
  <c r="J21" i="9"/>
  <c r="L23" i="9"/>
  <c r="L18" i="9"/>
  <c r="M19" i="9"/>
  <c r="K5" i="9"/>
  <c r="M9" i="9"/>
  <c r="K14" i="9"/>
  <c r="Y4" i="9"/>
  <c r="L5" i="9"/>
  <c r="M6" i="9"/>
  <c r="K8" i="9"/>
  <c r="J9" i="9"/>
  <c r="K10" i="9"/>
  <c r="K13" i="9"/>
  <c r="L14" i="9"/>
  <c r="M5" i="9"/>
  <c r="J6" i="9"/>
  <c r="J7" i="9"/>
  <c r="L8" i="9"/>
  <c r="L10" i="9"/>
  <c r="J11" i="9"/>
  <c r="J12" i="9"/>
  <c r="L13" i="9"/>
  <c r="M14" i="9"/>
  <c r="J15" i="9"/>
  <c r="J16" i="9"/>
  <c r="J17" i="9"/>
  <c r="M11" i="9"/>
  <c r="M12" i="9"/>
  <c r="M15" i="9"/>
  <c r="M16" i="9"/>
  <c r="M17" i="9"/>
  <c r="J5" i="9"/>
  <c r="K7" i="9"/>
  <c r="M8" i="9"/>
  <c r="G35" i="26"/>
  <c r="M10" i="9"/>
  <c r="O30" i="26"/>
  <c r="M4" i="9"/>
  <c r="J4" i="9"/>
  <c r="J3" i="9"/>
  <c r="M3" i="9"/>
  <c r="L3" i="9"/>
  <c r="K3" i="9"/>
  <c r="AL31" i="32"/>
  <c r="K27" i="32"/>
  <c r="AL44" i="32"/>
  <c r="K34" i="32"/>
  <c r="AR30" i="32"/>
  <c r="K35" i="32"/>
  <c r="AL33" i="32"/>
  <c r="K28" i="32"/>
  <c r="AL41" i="32"/>
  <c r="U26" i="32"/>
  <c r="AL40" i="32"/>
  <c r="K32" i="32"/>
  <c r="AR32" i="32"/>
  <c r="K37" i="32"/>
  <c r="AL39" i="32"/>
  <c r="K31" i="32"/>
  <c r="AL42" i="32"/>
  <c r="K33" i="32"/>
  <c r="AR33" i="32"/>
  <c r="K38" i="32"/>
  <c r="AR31" i="32"/>
  <c r="K36" i="32"/>
  <c r="AN54" i="32"/>
  <c r="R3" i="9" a="1"/>
  <c r="R3" i="9"/>
  <c r="Q8" i="32"/>
  <c r="Z6" i="41"/>
  <c r="J17" i="41"/>
  <c r="K17" i="41"/>
  <c r="L17" i="41"/>
  <c r="M17" i="41"/>
  <c r="U7" i="32"/>
  <c r="Z18" i="41"/>
  <c r="J5" i="41"/>
  <c r="K5" i="41"/>
  <c r="L5" i="41"/>
  <c r="M5" i="41"/>
  <c r="E13" i="32"/>
  <c r="Z4" i="41"/>
  <c r="J19" i="41"/>
  <c r="K19" i="41"/>
  <c r="L19" i="41"/>
  <c r="M19" i="41"/>
  <c r="Q7" i="32"/>
  <c r="Y9" i="32"/>
  <c r="E8" i="32"/>
  <c r="Q13" i="32"/>
  <c r="M13" i="32"/>
  <c r="Y8" i="32"/>
  <c r="AL30" i="32"/>
  <c r="E7" i="32"/>
  <c r="Z3" i="41"/>
  <c r="J20" i="41"/>
  <c r="K20" i="41"/>
  <c r="L20" i="41"/>
  <c r="M20" i="41"/>
  <c r="Z17" i="41"/>
  <c r="J6" i="41"/>
  <c r="K6" i="41"/>
  <c r="L6" i="41"/>
  <c r="M6" i="41"/>
  <c r="Q10" i="32"/>
  <c r="Y13" i="32"/>
  <c r="I13" i="32"/>
  <c r="Q9" i="32"/>
  <c r="X48" i="32"/>
  <c r="X49" i="32"/>
  <c r="X50" i="32"/>
  <c r="Z20" i="41"/>
  <c r="J3" i="41"/>
  <c r="K3" i="41"/>
  <c r="L3" i="41"/>
  <c r="Z8" i="41"/>
  <c r="J15" i="41"/>
  <c r="K15" i="41"/>
  <c r="L15" i="41"/>
  <c r="M15" i="41"/>
  <c r="Y7" i="32"/>
  <c r="E10" i="32"/>
  <c r="I7" i="32"/>
  <c r="Z19" i="41"/>
  <c r="J4" i="41"/>
  <c r="K4" i="41"/>
  <c r="L4" i="41"/>
  <c r="M4" i="41"/>
  <c r="Z14" i="41"/>
  <c r="J9" i="41"/>
  <c r="K9" i="41"/>
  <c r="L9" i="41"/>
  <c r="M9" i="41"/>
  <c r="Z16" i="41"/>
  <c r="J7" i="41"/>
  <c r="K7" i="41"/>
  <c r="L7" i="41"/>
  <c r="M7" i="41"/>
  <c r="Z13" i="41"/>
  <c r="J10" i="41"/>
  <c r="K10" i="41"/>
  <c r="L10" i="41"/>
  <c r="M10" i="41"/>
  <c r="G34" i="26"/>
  <c r="X45" i="32"/>
  <c r="AM42" i="26"/>
  <c r="G48" i="26"/>
  <c r="Q45" i="26"/>
  <c r="Q39" i="26"/>
  <c r="Q37" i="26"/>
  <c r="G37" i="26"/>
  <c r="Q48" i="26"/>
  <c r="G50" i="26"/>
  <c r="G46" i="26"/>
  <c r="G32" i="26"/>
  <c r="Q36" i="26"/>
  <c r="Q30" i="26"/>
  <c r="N2" i="26"/>
  <c r="G29" i="26"/>
  <c r="X27" i="32"/>
  <c r="X28" i="32"/>
  <c r="X29" i="32"/>
  <c r="X30" i="32"/>
  <c r="X31" i="32"/>
  <c r="X32" i="32"/>
  <c r="X33" i="32"/>
  <c r="X34" i="32"/>
  <c r="X35" i="32"/>
  <c r="X36" i="32"/>
  <c r="X37" i="32"/>
  <c r="X38" i="32"/>
  <c r="X39" i="32"/>
  <c r="X40" i="32"/>
  <c r="X41" i="32"/>
  <c r="X42" i="32"/>
  <c r="X43" i="32"/>
  <c r="X44" i="32"/>
  <c r="X46" i="32"/>
  <c r="X47" i="32"/>
  <c r="X51" i="32"/>
  <c r="X52" i="32"/>
  <c r="X53" i="32"/>
  <c r="X54" i="32"/>
  <c r="X55" i="32"/>
  <c r="X56" i="32"/>
  <c r="X57" i="32"/>
  <c r="X58" i="32"/>
  <c r="X59" i="32"/>
  <c r="X60" i="32"/>
  <c r="X61" i="32"/>
  <c r="X62" i="32"/>
  <c r="X63" i="32"/>
  <c r="G72" i="26"/>
  <c r="Q31" i="26"/>
  <c r="AC4" i="32"/>
  <c r="Q65" i="26"/>
  <c r="Q67" i="26"/>
  <c r="Q59" i="26"/>
  <c r="Q60" i="26"/>
  <c r="Q53" i="26"/>
  <c r="Q55" i="26"/>
  <c r="G36" i="26"/>
  <c r="G45" i="26"/>
  <c r="G39" i="26"/>
  <c r="G30" i="26"/>
  <c r="O68" i="26"/>
  <c r="O66" i="26"/>
  <c r="O64" i="26"/>
  <c r="O62" i="26"/>
  <c r="O60" i="26"/>
  <c r="O58" i="26"/>
  <c r="O57" i="26"/>
  <c r="O55" i="26"/>
  <c r="O50" i="26"/>
  <c r="O49" i="26"/>
  <c r="O48" i="26"/>
  <c r="O35" i="26"/>
  <c r="O34" i="26"/>
  <c r="O32" i="26"/>
  <c r="O47" i="26"/>
  <c r="O45" i="26"/>
  <c r="O43" i="26"/>
  <c r="O42" i="26"/>
  <c r="O38" i="26"/>
  <c r="O46" i="26"/>
  <c r="O40" i="26"/>
  <c r="O39" i="26"/>
  <c r="O67" i="26"/>
  <c r="O65" i="26"/>
  <c r="O63" i="26"/>
  <c r="O61" i="26"/>
  <c r="O59" i="26"/>
  <c r="O56" i="26"/>
  <c r="O53" i="26"/>
  <c r="O33" i="26"/>
  <c r="O31" i="26"/>
  <c r="O41" i="26"/>
  <c r="O37" i="26"/>
  <c r="O36" i="26"/>
  <c r="O70" i="26"/>
  <c r="G68" i="26"/>
  <c r="G66" i="26"/>
  <c r="G63" i="26"/>
  <c r="G62" i="26"/>
  <c r="G58" i="26"/>
  <c r="G57" i="26"/>
  <c r="G49" i="26"/>
  <c r="G47" i="26"/>
  <c r="G43" i="26"/>
  <c r="G42" i="26"/>
  <c r="G41" i="26"/>
  <c r="G40" i="26"/>
  <c r="G38" i="26"/>
  <c r="Y6" i="9"/>
  <c r="O2" i="9"/>
  <c r="O72" i="26"/>
  <c r="Y64" i="32"/>
  <c r="P41" i="9" a="1"/>
  <c r="P41" i="9"/>
  <c r="Q2" i="9"/>
  <c r="M63" i="32"/>
  <c r="M3" i="41"/>
  <c r="AK18" i="41"/>
  <c r="AK8" i="41"/>
  <c r="AK19" i="41"/>
  <c r="AK11" i="41"/>
  <c r="AK10" i="41"/>
  <c r="AK16" i="41"/>
  <c r="AK20" i="41"/>
  <c r="AK4" i="41"/>
  <c r="AK3" i="41"/>
  <c r="AK13" i="41"/>
  <c r="AK14" i="41"/>
  <c r="AK17" i="41"/>
  <c r="AK12" i="41"/>
  <c r="AK9" i="41"/>
  <c r="AK5" i="41"/>
  <c r="AK6" i="41"/>
  <c r="AK7" i="41"/>
  <c r="AK15" i="41"/>
  <c r="G70" i="26"/>
  <c r="AC3" i="9"/>
  <c r="AA4" i="9"/>
  <c r="Q71" i="26"/>
  <c r="Q29" i="26"/>
  <c r="X26" i="32"/>
  <c r="Q34" i="26"/>
  <c r="Q35" i="26"/>
  <c r="Q64" i="26"/>
  <c r="Q32" i="26"/>
  <c r="Q56" i="26"/>
  <c r="Q46" i="26"/>
  <c r="Q38" i="26"/>
  <c r="Q40" i="26"/>
  <c r="Q41" i="26"/>
  <c r="Q42" i="26"/>
  <c r="Q43" i="26"/>
  <c r="Q47" i="26"/>
  <c r="Q49" i="26"/>
  <c r="Q57" i="26"/>
  <c r="Q58" i="26"/>
  <c r="Q61" i="26"/>
  <c r="Q62" i="26"/>
  <c r="Q63" i="26"/>
  <c r="Q66" i="26"/>
  <c r="Q68" i="26"/>
  <c r="Q33" i="26"/>
  <c r="Q50" i="26"/>
  <c r="O71" i="26"/>
  <c r="Q72" i="26"/>
  <c r="Q41" i="9" a="1"/>
  <c r="Q41" i="9"/>
  <c r="AB4" i="9"/>
  <c r="Z4" i="9"/>
  <c r="Q70" i="26"/>
  <c r="AC4" i="9"/>
  <c r="CI6" i="39"/>
  <c r="Y1" i="41"/>
  <c r="AM29" i="32"/>
  <c r="AT53" i="32"/>
  <c r="AT52" i="32"/>
  <c r="AR48" i="32"/>
  <c r="AT54" i="32"/>
  <c r="AR47" i="32"/>
  <c r="AR50" i="32"/>
  <c r="AR49" i="32"/>
  <c r="AP46" i="32"/>
  <c r="AP56" i="32"/>
  <c r="AY29" i="32"/>
  <c r="AS29" i="3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<sst xmlns="http://schemas.openxmlformats.org/spreadsheetml/2006/main" count="1994" uniqueCount="1053">
  <si>
    <t>Introduction</t>
  </si>
  <si>
    <t>Steps to use the tool</t>
  </si>
  <si>
    <r>
      <rPr>
        <sz val="12"/>
        <color theme="1"/>
        <rFont val="Calibri"/>
        <family val="2"/>
        <scheme val="minor"/>
      </rPr>
      <t xml:space="preserve">
    </t>
    </r>
    <r>
      <rPr>
        <sz val="12"/>
        <color theme="1"/>
        <rFont val="Calibri"/>
        <family val="2"/>
        <scheme val="minor"/>
      </rPr>
      <t xml:space="preserve">
</t>
    </r>
    <r>
      <rPr>
        <sz val="10"/>
        <color theme="1"/>
        <rFont val="Calibri"/>
        <family val="2"/>
        <scheme val="minor"/>
      </rPr>
      <t xml:space="preserve">
</t>
    </r>
  </si>
  <si>
    <t>EN</t>
  </si>
  <si>
    <t>Biodigester</t>
  </si>
  <si>
    <t>Sources</t>
  </si>
  <si>
    <t xml:space="preserve">
Demand side assessment</t>
  </si>
  <si>
    <t>Pre-Commercial Phase 0</t>
  </si>
  <si>
    <t>Pioneering Phase I</t>
  </si>
  <si>
    <t>Expansion Phase II</t>
  </si>
  <si>
    <t>Maturity Phase III</t>
  </si>
  <si>
    <t>D1V1</t>
  </si>
  <si>
    <t>Slight positive</t>
  </si>
  <si>
    <t>Survey_Study_Report</t>
  </si>
  <si>
    <t>D2V1</t>
  </si>
  <si>
    <t>D3V1</t>
  </si>
  <si>
    <t>D4V1</t>
  </si>
  <si>
    <t>D5V1</t>
  </si>
  <si>
    <t>D6V1</t>
  </si>
  <si>
    <t>D6V2</t>
  </si>
  <si>
    <t>D7V1</t>
  </si>
  <si>
    <t>D7V2</t>
  </si>
  <si>
    <t>Conflicting</t>
  </si>
  <si>
    <t>Assumption</t>
  </si>
  <si>
    <t>S1V1</t>
  </si>
  <si>
    <t>Stagnation</t>
  </si>
  <si>
    <t>S1V2</t>
  </si>
  <si>
    <t>S1V3</t>
  </si>
  <si>
    <t>Positive</t>
  </si>
  <si>
    <t>S1V4</t>
  </si>
  <si>
    <t>Slight negative</t>
  </si>
  <si>
    <t>S2V1</t>
  </si>
  <si>
    <t>S2V2</t>
  </si>
  <si>
    <t>Doesn't apply</t>
  </si>
  <si>
    <t>Not measured / Doesn't apply</t>
  </si>
  <si>
    <t>S3V4</t>
  </si>
  <si>
    <t>S4V1</t>
  </si>
  <si>
    <t>S4V2</t>
  </si>
  <si>
    <t>S4V4</t>
  </si>
  <si>
    <t>S4V5</t>
  </si>
  <si>
    <t>S7V1</t>
  </si>
  <si>
    <t>S8V1</t>
  </si>
  <si>
    <t>S8V3</t>
  </si>
  <si>
    <t>- between phase II and III</t>
  </si>
  <si>
    <t>S8V5</t>
  </si>
  <si>
    <t>- between phase I and II</t>
  </si>
  <si>
    <t>E1V1</t>
  </si>
  <si>
    <t>E1V2</t>
  </si>
  <si>
    <t>E1V3</t>
  </si>
  <si>
    <t>E2V1</t>
  </si>
  <si>
    <t>E2V2</t>
  </si>
  <si>
    <t>E2V3</t>
  </si>
  <si>
    <t>E3V1</t>
  </si>
  <si>
    <t>E3V2</t>
  </si>
  <si>
    <t>E4V1</t>
  </si>
  <si>
    <t>E4V2</t>
  </si>
  <si>
    <t>E4V3</t>
  </si>
  <si>
    <t>E5V1</t>
  </si>
  <si>
    <t>E5V2</t>
  </si>
  <si>
    <t>E5V3</t>
  </si>
  <si>
    <t>Market Scorecard</t>
  </si>
  <si>
    <t>Data source:</t>
  </si>
  <si>
    <t>Report/Study/Survey</t>
  </si>
  <si>
    <t>Assumptions</t>
  </si>
  <si>
    <t>Market phases and trends per indicator</t>
  </si>
  <si>
    <t>Number of indicators per market phase over time</t>
  </si>
  <si>
    <t xml:space="preserve">S1 </t>
  </si>
  <si>
    <t xml:space="preserve">Suppliers </t>
  </si>
  <si>
    <t>S2</t>
  </si>
  <si>
    <t>Sales volume</t>
  </si>
  <si>
    <t>S3</t>
  </si>
  <si>
    <t>Prices, costs + profits</t>
  </si>
  <si>
    <t>S4</t>
  </si>
  <si>
    <t>Supply chain</t>
  </si>
  <si>
    <t>S5</t>
  </si>
  <si>
    <t>Value chain</t>
  </si>
  <si>
    <t>Warranties</t>
  </si>
  <si>
    <t>Entrepreneurial skills</t>
  </si>
  <si>
    <t xml:space="preserve">               </t>
  </si>
  <si>
    <t>S6</t>
  </si>
  <si>
    <t>Business networks</t>
  </si>
  <si>
    <t>D1</t>
  </si>
  <si>
    <t>Product diversity</t>
  </si>
  <si>
    <t>D2</t>
  </si>
  <si>
    <t>Market penetration</t>
  </si>
  <si>
    <t>D3</t>
  </si>
  <si>
    <t>Willingness to pay</t>
  </si>
  <si>
    <t>D4</t>
  </si>
  <si>
    <t>Systems in use</t>
  </si>
  <si>
    <t>D5</t>
  </si>
  <si>
    <t>Replacement + repair</t>
  </si>
  <si>
    <t>D6</t>
  </si>
  <si>
    <t>Consumer awareness</t>
  </si>
  <si>
    <t>E1</t>
  </si>
  <si>
    <t>Policy</t>
  </si>
  <si>
    <t>E2</t>
  </si>
  <si>
    <t>Access to finance</t>
  </si>
  <si>
    <t>E3</t>
  </si>
  <si>
    <t>Quality regulations</t>
  </si>
  <si>
    <t>E4</t>
  </si>
  <si>
    <t>Market information</t>
  </si>
  <si>
    <t>E5</t>
  </si>
  <si>
    <t>Expertise development</t>
  </si>
  <si>
    <t>Attention zone</t>
  </si>
  <si>
    <t>All variables in phases 0 and I</t>
  </si>
  <si>
    <t>Variables not measured</t>
  </si>
  <si>
    <t>Indicators</t>
  </si>
  <si>
    <t>Variables</t>
  </si>
  <si>
    <t>Explanation</t>
  </si>
  <si>
    <t>ID</t>
  </si>
  <si>
    <t>Supply side indicators</t>
  </si>
  <si>
    <t>Enabling environment indicators</t>
  </si>
  <si>
    <t># Variables measured:</t>
  </si>
  <si>
    <t># Variables not measured:</t>
  </si>
  <si>
    <t># Variables n.a.:</t>
  </si>
  <si>
    <t>Energy Market Scores</t>
  </si>
  <si>
    <r>
      <t xml:space="preserve">Market Phase
</t>
    </r>
    <r>
      <rPr>
        <sz val="10"/>
        <color theme="1"/>
        <rFont val="Calibri"/>
        <family val="2"/>
        <scheme val="minor"/>
      </rPr>
      <t>(Drop-down list)</t>
    </r>
  </si>
  <si>
    <r>
      <t xml:space="preserve">Trend
</t>
    </r>
    <r>
      <rPr>
        <sz val="8"/>
        <color theme="1"/>
        <rFont val="Calibri"/>
        <family val="2"/>
        <scheme val="minor"/>
      </rPr>
      <t>(Drop-down list)</t>
    </r>
  </si>
  <si>
    <r>
      <t xml:space="preserve">Explanation
</t>
    </r>
    <r>
      <rPr>
        <sz val="12"/>
        <color theme="1"/>
        <rFont val="Calibri"/>
        <family val="2"/>
        <scheme val="minor"/>
      </rPr>
      <t>(Please give a short explanation, max. 60 words)</t>
    </r>
  </si>
  <si>
    <r>
      <t xml:space="preserve">Data Source
</t>
    </r>
    <r>
      <rPr>
        <sz val="8"/>
        <color theme="1"/>
        <rFont val="Calibri"/>
        <family val="2"/>
        <scheme val="minor"/>
      </rPr>
      <t>(Drop-down list)</t>
    </r>
  </si>
  <si>
    <t>Supply Side</t>
  </si>
  <si>
    <t>S1
Suppliers</t>
  </si>
  <si>
    <t>Businesses</t>
  </si>
  <si>
    <t>Business modalities</t>
  </si>
  <si>
    <t>Formality</t>
  </si>
  <si>
    <t>Jobs created</t>
  </si>
  <si>
    <t>S2
Sales Volume</t>
  </si>
  <si>
    <t>Products / services sold</t>
  </si>
  <si>
    <t>Inventory turnover</t>
  </si>
  <si>
    <t>S3
Prices, costs and profits</t>
  </si>
  <si>
    <t>Prices</t>
  </si>
  <si>
    <t>Negative</t>
  </si>
  <si>
    <t>Costs</t>
  </si>
  <si>
    <t xml:space="preserve">Profit margin </t>
  </si>
  <si>
    <t>Investments</t>
  </si>
  <si>
    <t>S4
Supply chain development and after-sales service</t>
  </si>
  <si>
    <t>Length</t>
  </si>
  <si>
    <t>Distribution channels</t>
  </si>
  <si>
    <t>Spatial reach</t>
  </si>
  <si>
    <t>Initial suppliers</t>
  </si>
  <si>
    <t>After-sales service</t>
  </si>
  <si>
    <t>S5
Value chain</t>
  </si>
  <si>
    <t>Value added</t>
  </si>
  <si>
    <t>S6
Business networks</t>
  </si>
  <si>
    <t>Networks</t>
  </si>
  <si>
    <t>Partnerships</t>
  </si>
  <si>
    <t>S7
Warranties</t>
  </si>
  <si>
    <r>
      <t>S8
Entrepreneurial skills</t>
    </r>
    <r>
      <rPr>
        <sz val="10"/>
        <color theme="1"/>
        <rFont val="Calibri"/>
        <family val="2"/>
        <scheme val="minor"/>
      </rPr>
      <t> </t>
    </r>
  </si>
  <si>
    <t>Financial literacy</t>
  </si>
  <si>
    <t>Satisfaction level</t>
  </si>
  <si>
    <t>Marketing skills</t>
  </si>
  <si>
    <t>Advertising</t>
  </si>
  <si>
    <t xml:space="preserve">Production automatization and optimisation </t>
  </si>
  <si>
    <t xml:space="preserve">Standardized production </t>
  </si>
  <si>
    <t>Demand side</t>
  </si>
  <si>
    <t>D1
Product and service diversity</t>
  </si>
  <si>
    <t>Diversity</t>
  </si>
  <si>
    <t>D2
Market penetration</t>
  </si>
  <si>
    <t>Market share / Technology adopters</t>
  </si>
  <si>
    <t>D3
Willingness to pay</t>
  </si>
  <si>
    <t xml:space="preserve">Willingness to pay </t>
  </si>
  <si>
    <t>D4
Systems in use</t>
  </si>
  <si>
    <t>Usage rate</t>
  </si>
  <si>
    <t>Maintenance</t>
  </si>
  <si>
    <t>D5
Replacement and repair</t>
  </si>
  <si>
    <t>Replacement rate</t>
  </si>
  <si>
    <t>Repair rate</t>
  </si>
  <si>
    <t>D6
Consumer awareness and perception</t>
  </si>
  <si>
    <t>Awareness</t>
  </si>
  <si>
    <t>Perception</t>
  </si>
  <si>
    <t>Enabling environment</t>
  </si>
  <si>
    <t>E1
Policy</t>
  </si>
  <si>
    <t>National plans</t>
  </si>
  <si>
    <t>Product taxes</t>
  </si>
  <si>
    <t>Business taxes</t>
  </si>
  <si>
    <t>E2
Access to finance</t>
  </si>
  <si>
    <t>Subsidies</t>
  </si>
  <si>
    <t>Financing options and investments by suppliers</t>
  </si>
  <si>
    <t>Financing options for consumers</t>
  </si>
  <si>
    <t>E3
Quality regulations, norms and standards</t>
  </si>
  <si>
    <t>Regulation, Norms and standards</t>
  </si>
  <si>
    <t>Enforcement</t>
  </si>
  <si>
    <t>E4
Market information</t>
  </si>
  <si>
    <t>Cost of information</t>
  </si>
  <si>
    <t>Market facilitation organizations</t>
  </si>
  <si>
    <r>
      <t>Awareness campaigns</t>
    </r>
    <r>
      <rPr>
        <sz val="10"/>
        <color theme="1"/>
        <rFont val="Calibri"/>
        <family val="2"/>
        <scheme val="minor"/>
      </rPr>
      <t> </t>
    </r>
  </si>
  <si>
    <t>E5
Expertise development</t>
  </si>
  <si>
    <t>Courses</t>
  </si>
  <si>
    <t>BDT</t>
  </si>
  <si>
    <t>User training</t>
  </si>
  <si>
    <t>Text</t>
  </si>
  <si>
    <t>FR</t>
  </si>
  <si>
    <t>Referring worksheets</t>
  </si>
  <si>
    <t>Boundaries and Process</t>
  </si>
  <si>
    <t>Market Scoring Boundaries and Process</t>
  </si>
  <si>
    <t>Limites et processus de pointage du marché</t>
  </si>
  <si>
    <t>Country</t>
  </si>
  <si>
    <t>Pays</t>
  </si>
  <si>
    <t>Boundaries and Process, Demand side, Supply side, Enabling environment, EAMD Scorecard</t>
  </si>
  <si>
    <t>Technology</t>
  </si>
  <si>
    <t>Technologie</t>
  </si>
  <si>
    <t>Select from the drop-down list</t>
  </si>
  <si>
    <t>Sélectionnez dans la liste déroulante</t>
  </si>
  <si>
    <t>Year</t>
  </si>
  <si>
    <t>Année</t>
  </si>
  <si>
    <t>Who is scoring?</t>
  </si>
  <si>
    <t>Qui marque?</t>
  </si>
  <si>
    <t>Geographical boundaries</t>
  </si>
  <si>
    <t>Limites géographiques</t>
  </si>
  <si>
    <t>Technological boundaries</t>
  </si>
  <si>
    <t>Limites technologiques</t>
  </si>
  <si>
    <t>Target group boundaries</t>
  </si>
  <si>
    <t>Limites du groupe cible</t>
  </si>
  <si>
    <t>Quand étais cette évaluation réalisée?</t>
  </si>
  <si>
    <t>Describe in a few words how the scoring was done</t>
  </si>
  <si>
    <t>Décrivez en quelques mots comment le pointage a été effectuée</t>
  </si>
  <si>
    <t>Guide</t>
  </si>
  <si>
    <t>Boundaries and Process Guide - country</t>
  </si>
  <si>
    <t>Indiquez le pays et, le cas échéant, décrivez les limites géographiques de l'évaluation (par exemple, si seules certaines régions ou provinces sont évaluées).</t>
  </si>
  <si>
    <t>Boundaries and Process Guide - technology</t>
  </si>
  <si>
    <t>Sélectionnez la technologie dans la liste déroulante et, le cas échéant, décrivez les limites technologiques de l'évaluation : par exemple, si seuls les produits de niveaux spécifiques ou de certains types sont évalués.</t>
  </si>
  <si>
    <t>Boundaries and Process Guide - boundaries</t>
  </si>
  <si>
    <t>Indicate, if relevant, boundaires concerning the target group (HH, SI, MSME/PU, Refugee etc.)</t>
  </si>
  <si>
    <t>Indiquez, le cas échéant, les limites concernant le groupe cible (HH, SI, MPME/UP, Réfugié etc.)</t>
  </si>
  <si>
    <t>Boundaries and Process Guide - year</t>
  </si>
  <si>
    <t>Indiquez l’année de l’évaluation et la date à laquelle l’évaluation a été effectuée</t>
  </si>
  <si>
    <t>Boundaries and Process Guide - organisation</t>
  </si>
  <si>
    <t>Indiquez le nom de l'organisation effectuant l'évaluation et, brièvement, les méthodes utilisées (étendue de l'utilisation de la littérature, entretiens, ateliers et propre évaluation basée sur l'expérience).</t>
  </si>
  <si>
    <t>Boundaries and Process Guide - sources</t>
  </si>
  <si>
    <t>List the documents used as sources (reports etc.). A maximum number of five sources can be listed.</t>
  </si>
  <si>
    <t>Lister les documents utilisés comme sources (les rapports etc.). Une maximum de cinq sources peuvent être listées.</t>
  </si>
  <si>
    <t>Language</t>
  </si>
  <si>
    <t>Langue</t>
  </si>
  <si>
    <t>Demand side assessment</t>
  </si>
  <si>
    <t>Évaluation du côté de la demande</t>
  </si>
  <si>
    <t>Please fill out all the blue cells</t>
  </si>
  <si>
    <t>Veuillez remplir toutes les cellules bleues</t>
  </si>
  <si>
    <t>Demand side, Supply side, Enabling environment</t>
  </si>
  <si>
    <t>Demand side observations</t>
  </si>
  <si>
    <t>Observations du côté de la demande</t>
  </si>
  <si>
    <t>Describe the overall picture of the demand side of the market</t>
  </si>
  <si>
    <t>Décrivez la situation globale de la demande du marché</t>
  </si>
  <si>
    <t>Demand side Guide</t>
  </si>
  <si>
    <t>Boundaries</t>
  </si>
  <si>
    <t>Limites</t>
  </si>
  <si>
    <t>Demand side, Supply side, Enabling environment, EAMD Scorecard</t>
  </si>
  <si>
    <t>Geography</t>
  </si>
  <si>
    <t>Géographie</t>
  </si>
  <si>
    <t>Target group</t>
  </si>
  <si>
    <t>Groupe cible</t>
  </si>
  <si>
    <t>Pointages du marché d’énergie</t>
  </si>
  <si>
    <t>Scoring benchmarks</t>
  </si>
  <si>
    <t>Références de pointage</t>
  </si>
  <si>
    <t>Indicator</t>
  </si>
  <si>
    <t>Indicateur</t>
  </si>
  <si>
    <t>Variable</t>
  </si>
  <si>
    <t>Market Phase</t>
  </si>
  <si>
    <t>Phase de marché</t>
  </si>
  <si>
    <t>Trend</t>
  </si>
  <si>
    <t>Tendance</t>
  </si>
  <si>
    <t>Explication</t>
  </si>
  <si>
    <t>Data Source</t>
  </si>
  <si>
    <t>La source de données</t>
  </si>
  <si>
    <t>Description</t>
  </si>
  <si>
    <t>Drop-down list</t>
  </si>
  <si>
    <t>La liste déroulante</t>
  </si>
  <si>
    <t>Please provide a short explanation, max. 60 words</t>
  </si>
  <si>
    <t>Veuillez fournir une brève explication, max. 60 mots</t>
  </si>
  <si>
    <t>Supply side Guide</t>
  </si>
  <si>
    <t>Pour chaque variable :
1) Sélectionnez la phase de marché qui décrit la situation le mieux (voir les références ci-dessous)
2) Indiquez la tendance au cours des deux dernières années
3) Fournissez une explication qui explique le pointage
4) Sélectionnez le principal type de source de données utilisée pour évaluer la variable
Une fois terminé, fournissez une brève description de la situation globale de l'offre du marché.</t>
  </si>
  <si>
    <t>Supply side</t>
  </si>
  <si>
    <t>Enabling environment Guide</t>
  </si>
  <si>
    <t>Pour chaque variable :
1) Sélectionnez la phase de marché qui décrit la situation le mieux (voir les références ci-dessous)
2) Indiquez la tendance au cours des deux dernières années
3) Fournissez une explication qui explique le pointage
4) Sélectionnez le principal type de source de données utilisée pour évaluer la variable
Une fois terminé, fournissez une brève description de la situation globale de l'environnement favorable</t>
  </si>
  <si>
    <t>Supply side assessment</t>
  </si>
  <si>
    <t>Évaluation du côté de l’offre</t>
  </si>
  <si>
    <t>Supply side observations</t>
  </si>
  <si>
    <t>Observations du côté de l’offre</t>
  </si>
  <si>
    <t>Describe the overall picture of the supply side of the market</t>
  </si>
  <si>
    <t>Décrivez la situation globale de l’offre du marché</t>
  </si>
  <si>
    <t>Assessment of the enabling environment</t>
  </si>
  <si>
    <t>Évaluation de l’environnement favorable</t>
  </si>
  <si>
    <t>Observations on the enabling environment</t>
  </si>
  <si>
    <t>Observations sur l’environnement favorable</t>
  </si>
  <si>
    <t>Describe the overall picture</t>
  </si>
  <si>
    <t>Décrivez la situation globale</t>
  </si>
  <si>
    <t>Energy Market Scorecard</t>
  </si>
  <si>
    <t>Tableau de bord du marché de l’énergie</t>
  </si>
  <si>
    <t>EAMD Scorecard</t>
  </si>
  <si>
    <t>Previous assessment 1</t>
  </si>
  <si>
    <t xml:space="preserve">Previous assessment 1 </t>
  </si>
  <si>
    <t>Évaluation précédente 1</t>
  </si>
  <si>
    <t>Previous assessment 2</t>
  </si>
  <si>
    <t>Évaluation précédente 2</t>
  </si>
  <si>
    <t>(cut-n-paste in the blue cells)</t>
  </si>
  <si>
    <t>(couper-coller dans les cellules bleues)</t>
  </si>
  <si>
    <t>Côté de l'offre</t>
  </si>
  <si>
    <t>Côté de la demande</t>
  </si>
  <si>
    <t>Environnement favorable</t>
  </si>
  <si>
    <t>Brief Market Description what are you looking at?</t>
  </si>
  <si>
    <t>Brief Market Description: 
what are you looking at?</t>
  </si>
  <si>
    <t>d1</t>
  </si>
  <si>
    <t>D1
Diversité des produits et services</t>
  </si>
  <si>
    <t>d2</t>
  </si>
  <si>
    <t>D2
Pénétration du marché</t>
  </si>
  <si>
    <t>d3</t>
  </si>
  <si>
    <t>D3
Volonté de payer</t>
  </si>
  <si>
    <t>d4</t>
  </si>
  <si>
    <t>D4
Systèmes utilisés</t>
  </si>
  <si>
    <t>d5</t>
  </si>
  <si>
    <t>D5
Remplacement et réparation</t>
  </si>
  <si>
    <t>d6</t>
  </si>
  <si>
    <t>D6
Sensibilisation et perception des consommateurs</t>
  </si>
  <si>
    <t>d7</t>
  </si>
  <si>
    <t>D7
Productive use</t>
  </si>
  <si>
    <t>D7
Utilisation productive</t>
  </si>
  <si>
    <t>d1v1</t>
  </si>
  <si>
    <t>Diversité</t>
  </si>
  <si>
    <t>d2v1</t>
  </si>
  <si>
    <t>Part de marché / Adopteurs de technologies</t>
  </si>
  <si>
    <t>d3v1</t>
  </si>
  <si>
    <t>Volonté de payer</t>
  </si>
  <si>
    <t>d4v1</t>
  </si>
  <si>
    <t>Taux d'utilisation</t>
  </si>
  <si>
    <t>d5v1</t>
  </si>
  <si>
    <t>Taux de remplacement</t>
  </si>
  <si>
    <t>d6v1</t>
  </si>
  <si>
    <t>d6v2</t>
  </si>
  <si>
    <t>d7v1</t>
  </si>
  <si>
    <t>Added value of productive use</t>
  </si>
  <si>
    <t>d7v2</t>
  </si>
  <si>
    <t>s1</t>
  </si>
  <si>
    <t>S1
Fournisseurs</t>
  </si>
  <si>
    <t>s2</t>
  </si>
  <si>
    <t>S2
Volume des ventes</t>
  </si>
  <si>
    <t>s3</t>
  </si>
  <si>
    <t>S3
Prix, coûts et bénéfices</t>
  </si>
  <si>
    <t>s4</t>
  </si>
  <si>
    <t>S4
Développement de la supply chain et service après-vente</t>
  </si>
  <si>
    <t>s7</t>
  </si>
  <si>
    <t>s8</t>
  </si>
  <si>
    <t>s1v1</t>
  </si>
  <si>
    <t>Entreprises</t>
  </si>
  <si>
    <t>s1v2</t>
  </si>
  <si>
    <t>Modalités commerciales</t>
  </si>
  <si>
    <t>s1v3</t>
  </si>
  <si>
    <t>Formalité</t>
  </si>
  <si>
    <t>s1v4</t>
  </si>
  <si>
    <t>Emplois créés</t>
  </si>
  <si>
    <t>s2v1</t>
  </si>
  <si>
    <t>Produits/services vendus</t>
  </si>
  <si>
    <t>s2v2</t>
  </si>
  <si>
    <t>Rotation des stocks</t>
  </si>
  <si>
    <t>s3v4</t>
  </si>
  <si>
    <t>Profits and Investments</t>
  </si>
  <si>
    <t>s4v1</t>
  </si>
  <si>
    <t>Length of supply chain</t>
  </si>
  <si>
    <t>Longueur de la chaîne d'approvisionnement</t>
  </si>
  <si>
    <t>s4v2</t>
  </si>
  <si>
    <t>Canaux de distribution</t>
  </si>
  <si>
    <t>s4v4</t>
  </si>
  <si>
    <t>Component suppliers</t>
  </si>
  <si>
    <t>s4v5</t>
  </si>
  <si>
    <t>After-sales service providers</t>
  </si>
  <si>
    <t>Prestataires de services après-vente</t>
  </si>
  <si>
    <t>s7v1</t>
  </si>
  <si>
    <t>Garanties</t>
  </si>
  <si>
    <t>s8v1</t>
  </si>
  <si>
    <t>Business skills</t>
  </si>
  <si>
    <t>s8v3</t>
  </si>
  <si>
    <t>Compétences en marketing</t>
  </si>
  <si>
    <t>s8v5</t>
  </si>
  <si>
    <t>e1</t>
  </si>
  <si>
    <t>E1
Politique</t>
  </si>
  <si>
    <t>e2</t>
  </si>
  <si>
    <t>E2
Accès au financement</t>
  </si>
  <si>
    <t>e3</t>
  </si>
  <si>
    <t>E3
Réglementations, normes et standards de qualité</t>
  </si>
  <si>
    <t>e4</t>
  </si>
  <si>
    <t>E4
Information du marché</t>
  </si>
  <si>
    <t>e5</t>
  </si>
  <si>
    <t>E5
Développement des expertises</t>
  </si>
  <si>
    <t>e1v1</t>
  </si>
  <si>
    <t>Plans nationaux</t>
  </si>
  <si>
    <t>e1v2</t>
  </si>
  <si>
    <t>Politique</t>
  </si>
  <si>
    <t>e1v3</t>
  </si>
  <si>
    <t>Taxes sur les produits</t>
  </si>
  <si>
    <t>e2v1</t>
  </si>
  <si>
    <t>Subventions</t>
  </si>
  <si>
    <t>e2v2</t>
  </si>
  <si>
    <t>Options de financement et investissements par les fournisseurs</t>
  </si>
  <si>
    <t>e2v3</t>
  </si>
  <si>
    <t>Options de financement pour les consommateurs</t>
  </si>
  <si>
    <t>e3v1</t>
  </si>
  <si>
    <t>Réglementation, normes et standards</t>
  </si>
  <si>
    <t>e3v2</t>
  </si>
  <si>
    <t>Mise en vigueur</t>
  </si>
  <si>
    <t>e4v1</t>
  </si>
  <si>
    <t>e4v2</t>
  </si>
  <si>
    <t>Organisations de facilitation du marché</t>
  </si>
  <si>
    <t>e4v3</t>
  </si>
  <si>
    <t>Awareness campaigns</t>
  </si>
  <si>
    <t>Campagnes de sensibilisation</t>
  </si>
  <si>
    <t>e5v1</t>
  </si>
  <si>
    <t>Technical courses</t>
  </si>
  <si>
    <t>Cours techniques</t>
  </si>
  <si>
    <t>e5v2</t>
  </si>
  <si>
    <t>Business Development Training</t>
  </si>
  <si>
    <t>Formation commerciale</t>
  </si>
  <si>
    <t>e5v3</t>
  </si>
  <si>
    <t>Formation des utilisateurs</t>
  </si>
  <si>
    <t>Diagrams</t>
  </si>
  <si>
    <t>Information du marché</t>
  </si>
  <si>
    <t>Quality standards</t>
  </si>
  <si>
    <t>Normes de qualité</t>
  </si>
  <si>
    <t>Accès au financement</t>
  </si>
  <si>
    <t>La sensibilisation des consommateurs</t>
  </si>
  <si>
    <t>Remplacements + réparations</t>
  </si>
  <si>
    <t>Systèmes utilisés</t>
  </si>
  <si>
    <t>Pénétration du marché</t>
  </si>
  <si>
    <t>Diversité des produits</t>
  </si>
  <si>
    <t>Compétences entrepreneuriales</t>
  </si>
  <si>
    <t>Réseaux d'affaires</t>
  </si>
  <si>
    <t>Chaîne de valeur</t>
  </si>
  <si>
    <t>Chaîne d'approvisionnement</t>
  </si>
  <si>
    <t>Prices, costs, profits</t>
  </si>
  <si>
    <t>Sales Volume</t>
  </si>
  <si>
    <t>Volume des ventes</t>
  </si>
  <si>
    <t>Suppliers</t>
  </si>
  <si>
    <t>Fournisseurs</t>
  </si>
  <si>
    <t>Benchmarks for all technologies</t>
  </si>
  <si>
    <t>French language version</t>
  </si>
  <si>
    <t>Improved cookstoves</t>
  </si>
  <si>
    <t>Solar Products</t>
  </si>
  <si>
    <t>Solar Home Systems</t>
  </si>
  <si>
    <t>Micro-hydro Power</t>
  </si>
  <si>
    <t>Grid</t>
  </si>
  <si>
    <t>Mini-grid</t>
  </si>
  <si>
    <t>E-Cooking</t>
  </si>
  <si>
    <t>E-Vehicles</t>
  </si>
  <si>
    <t>Other</t>
  </si>
  <si>
    <t>No (or very few) businesses</t>
  </si>
  <si>
    <t>Few businesses</t>
  </si>
  <si>
    <t>Increasing amount of new businesses entering the market</t>
  </si>
  <si>
    <t>Number of businesses starts to decrease. Takeovers / mergers as well as emergence of dominating businesses</t>
  </si>
  <si>
    <t>Introduced by donors as pilots without business or distribution models defined. No business partnerships.</t>
  </si>
  <si>
    <t>Single person entities who are mostly producers. Businesses start first partnerships to create trust (via payment record)</t>
  </si>
  <si>
    <t>Small import/retailers with a traditional business model. Have started engaging in business partnerships.</t>
  </si>
  <si>
    <t>Commercialized under traditional business models. Businesses have started engaging in partnerships.</t>
  </si>
  <si>
    <t>Businesses who are mostly producers or small import/retailers with a traditional business model. Have started engaging in business partnerships.</t>
  </si>
  <si>
    <t>Different business and distribution models in place. Businesses have more partnerships (e.g. trade credit)</t>
  </si>
  <si>
    <t>Consolidated business models with many partnerships.</t>
  </si>
  <si>
    <t>Most businesses operate in informal settings (&gt;85% do not pay taxes).</t>
  </si>
  <si>
    <t>Mostly, businesses operate in informal settings (67-84% do not pay tax)</t>
  </si>
  <si>
    <t>More businesses are formally registered, (33-49%).</t>
  </si>
  <si>
    <t>The majority are formally registered businesses.</t>
  </si>
  <si>
    <t>No (or very few) jobs created; a one-person  commercial activity.</t>
  </si>
  <si>
    <t>No (or very few) jobs created; 1-5 employees per business.</t>
  </si>
  <si>
    <t>Low number of employees (below 20). Most are employed on demand basis</t>
  </si>
  <si>
    <t>Low number of employees (below 20).</t>
  </si>
  <si>
    <t>Increasing number of personnel (20–99 employees) with larger players in the market and/or small businesses grow</t>
  </si>
  <si>
    <t>Variety of businesses with a wide range of different personnel. Total number of jobs in the market is relatively stable.</t>
  </si>
  <si>
    <t>Number of stoves sold</t>
  </si>
  <si>
    <t>Number of systems sold</t>
  </si>
  <si>
    <t>Very low sales volume</t>
  </si>
  <si>
    <t>Higher sale volumes with rapid increase (many systems are sold)</t>
  </si>
  <si>
    <t>Massive distribution; sales volumes stabilize at the replacement level.</t>
  </si>
  <si>
    <t>The speed of the cycle of purchase, sale, and replacement of the stock of biodigesters (in case of prefabricated systems) and appliances</t>
  </si>
  <si>
    <t>The speed of the cycle of purchase, sale, and replacement of the stock of systems/components..</t>
  </si>
  <si>
    <t xml:space="preserve">Inventory turnover ratio remains low.
Products still move off shelf slow. </t>
  </si>
  <si>
    <t>High inventory turnover ratio.
Products start to move off shelf slightly faster than before. There is risk of overstocking and obsolescence.</t>
  </si>
  <si>
    <t>Very high inventory turnover ratio.
Products move off shelf quickly most of the time.</t>
  </si>
  <si>
    <t>S3V1</t>
  </si>
  <si>
    <t>Profit margin on biodigesters and possibly bioslurry-compost and Investments by suppliers to increase production and/or sales</t>
  </si>
  <si>
    <t>S4
Supply chain and after-sales service</t>
  </si>
  <si>
    <t>Number of market participants at each step of the supply chain. Only relevant for prefabricated biodigesters.</t>
  </si>
  <si>
    <t>Two step supply chain: producers to customers.</t>
  </si>
  <si>
    <t>Two step supply chain: Importer-distributor/retailer to customers</t>
  </si>
  <si>
    <t>Short supply chains: Production/import, distribution, retail and wholesale usually done by the same entity.</t>
  </si>
  <si>
    <t>Visible growth of supply chains: Different stages of the supply chain are done by different entities.</t>
  </si>
  <si>
    <t>Complex and/or efficient supply chains: Clearly defined stages of the supply chain are done by different entities.</t>
  </si>
  <si>
    <t>Appropriate distribution channels do not exist.</t>
  </si>
  <si>
    <t>Weak distribution channels</t>
  </si>
  <si>
    <t>Improved distribution channels/network</t>
  </si>
  <si>
    <t>Distribution channels/network consolidated</t>
  </si>
  <si>
    <t>S4V3</t>
  </si>
  <si>
    <t>None or very few components providers, e.g. raw materials clay/metal, hinges etc.</t>
  </si>
  <si>
    <t>Few initial suppliers</t>
  </si>
  <si>
    <t>Many initial suppliers</t>
  </si>
  <si>
    <t>Established network infrastructure of initial suppliers</t>
  </si>
  <si>
    <t>S5V1</t>
  </si>
  <si>
    <t>S6V1</t>
  </si>
  <si>
    <t>S6V2</t>
  </si>
  <si>
    <t>Warranties are not granted.</t>
  </si>
  <si>
    <t>Warranties limited to “lower” risk products (e.g. high quality products or very robust products), only few businesses offer warranties.</t>
  </si>
  <si>
    <t>Warranties implemented to promote sales and brand loyalty, as well as to encourage consumer trust in the product/service.</t>
  </si>
  <si>
    <t>Warranties are an integral offer of quality technology suppliers.</t>
  </si>
  <si>
    <t xml:space="preserve">Business skills are low (e.g. wrong price setting, insufficient record keeping, no business plans). </t>
  </si>
  <si>
    <t>Some business skills develop.</t>
  </si>
  <si>
    <t>Business skills are improved.</t>
  </si>
  <si>
    <t>Good business skills</t>
  </si>
  <si>
    <t>Advertising is done by donors and to a limited extent by businesses (e.g. sign in front of the shop). Businesses have little knowledge to run marketing activities.</t>
  </si>
  <si>
    <t>Businesses advertise in diversified manner (e.g. showrooms, radio, bike ads). Businesses understand the potential of marketing.</t>
  </si>
  <si>
    <t>Advertising directed towards special groups. Businesses  exploit marketing potential and  effectiveness is measured.</t>
  </si>
  <si>
    <t>Not relevant</t>
  </si>
  <si>
    <r>
      <rPr>
        <u/>
        <sz val="10"/>
        <color theme="1"/>
        <rFont val="Calibri"/>
        <family val="2"/>
        <scheme val="minor"/>
      </rPr>
      <t>In case of local production</t>
    </r>
    <r>
      <rPr>
        <sz val="10"/>
        <color theme="1"/>
        <rFont val="Calibri"/>
        <family val="2"/>
        <scheme val="minor"/>
      </rPr>
      <t>: Low division of labour; all employees carry out all production steps. Few have standardized production processes and most struggle to produce good quality.</t>
    </r>
  </si>
  <si>
    <r>
      <rPr>
        <u/>
        <sz val="10"/>
        <color theme="1"/>
        <rFont val="Calibri"/>
        <family val="2"/>
        <scheme val="minor"/>
      </rPr>
      <t>In case of local production</t>
    </r>
    <r>
      <rPr>
        <sz val="10"/>
        <color theme="1"/>
        <rFont val="Calibri"/>
        <family val="2"/>
        <scheme val="minor"/>
      </rPr>
      <t>: Low to medium division of labour as well as low to medium automation and optimization process. Some producers have standardized production processes and varying quality.</t>
    </r>
  </si>
  <si>
    <r>
      <rPr>
        <u/>
        <sz val="10"/>
        <color theme="1"/>
        <rFont val="Calibri"/>
        <family val="2"/>
        <scheme val="minor"/>
      </rPr>
      <t>In case of local production</t>
    </r>
    <r>
      <rPr>
        <sz val="10"/>
        <color theme="1"/>
        <rFont val="Calibri"/>
        <family val="2"/>
        <scheme val="minor"/>
      </rPr>
      <t>: Medium level of division of labour as well as medium automation and optimization process. Most producers have standardized production processes =&gt; good quality.</t>
    </r>
  </si>
  <si>
    <r>
      <rPr>
        <u/>
        <sz val="10"/>
        <color theme="1"/>
        <rFont val="Calibri"/>
        <family val="2"/>
        <scheme val="minor"/>
      </rPr>
      <t>In case of local production</t>
    </r>
    <r>
      <rPr>
        <sz val="10"/>
        <color theme="1"/>
        <rFont val="Calibri"/>
        <family val="2"/>
        <scheme val="minor"/>
      </rPr>
      <t>: High level of division of labour as well as high automation and optimization process. High level of standardization of their production processes and very good quality.</t>
    </r>
  </si>
  <si>
    <t>There is only a very limited number of biodigester types in the market. Appliances are mainly limited to gas-burners/stoves</t>
  </si>
  <si>
    <t>There is only a very limited number of type of quality product(s)/service(s) in the market.</t>
  </si>
  <si>
    <t>The number of biodigester types is still limited and the focus on cooking energy remains. Companies start offering a range of stoves. Basic bioslurry infrastructure and extension services are offered by companies.</t>
  </si>
  <si>
    <t>More types of products/services appear for different needs / preferences</t>
  </si>
  <si>
    <t>A wider choice of biodigesters as well as appliances. As a result to focus shifts to productive energy. (Dedicated) companies provide bioslurry infrastructure and extension services</t>
  </si>
  <si>
    <t>Successful improved product/service variations dominate. Variations appear for different consumer segments</t>
  </si>
  <si>
    <t>Different needs of each consumer segment (regarding services and/or preferences) are served with a diversity of products/services.</t>
  </si>
  <si>
    <t>Share of relevant market population owning the product/service.</t>
  </si>
  <si>
    <t>Low market penetration rates (&lt;5%), as only the innovators (2-5% of all potential customers) have adopted the technology.</t>
  </si>
  <si>
    <t xml:space="preserve">Market penetration rates increase (6-15%), first in areas where the supply is located. </t>
  </si>
  <si>
    <t xml:space="preserve">Penetration rates are high in the initial immediate market area (16-30%). </t>
  </si>
  <si>
    <t xml:space="preserve">Market penetration increase far beyond the initial immediate market area and target groups (31-55%). </t>
  </si>
  <si>
    <t>The maximum amount of money the average person is willing to pay for the product or service.</t>
  </si>
  <si>
    <t>No willingness to pay is paired with low ability to pay.</t>
  </si>
  <si>
    <t>Willingness to pay increases as consumers get to know the product/service, but willingness is low for quality products.</t>
  </si>
  <si>
    <t>As product/service diversity increases, more customers with different willingness to pay are reached.</t>
  </si>
  <si>
    <t>Customers are willing to pay the price set by businesses, because customers value the product/service.</t>
  </si>
  <si>
    <t>Usage rate is low. Knowledge concerning proper use is informal based on experience</t>
  </si>
  <si>
    <t>Functionality rates starts to increase (60-85%). Some users know how to use the technology properly.</t>
  </si>
  <si>
    <t>Usage rates starts to increase. Some users know how to use the technology properly.</t>
  </si>
  <si>
    <t>Higher functionality rate (85-95%). Most users know how to use the technology properly.</t>
  </si>
  <si>
    <t>Higher usage rate. Most users know how to use the technology properly.</t>
  </si>
  <si>
    <t>Functionality rate is close to 100%. Almost all users know how to use the technology properly.</t>
  </si>
  <si>
    <t>Usage rate is close to 100%. Almost all users know how to use the technology properly.</t>
  </si>
  <si>
    <t>Replacement and repair rate</t>
  </si>
  <si>
    <t xml:space="preserve">No replacement and repairs yet. </t>
  </si>
  <si>
    <t>Initial replacements/repairs occur. Replacement/repair rate is low.</t>
  </si>
  <si>
    <t>Replacement/repair rate is high. Replacements/repairs become more common. Many of the broken technologies are replaced/repaired.</t>
  </si>
  <si>
    <t>Replacement rate is close to 100% Almost all users replace or repair their broken technology.</t>
  </si>
  <si>
    <t>No (or very little) awareness: &lt; 5% of potential consumers are aware of the technology.</t>
  </si>
  <si>
    <t>Fast growth in awareness: 6-30% of potential consumers are aware of the technology.</t>
  </si>
  <si>
    <t>Most potential consumers (31-60%) are aware of the technology.</t>
  </si>
  <si>
    <t>Almost all potential consumers are aware of the technology and are knowledgeable about pricing (61-80%).</t>
  </si>
  <si>
    <t>Only a few consumers perceive the technology positively as most of them are not aware of the benefits (&lt;20%).</t>
  </si>
  <si>
    <t>More consumers perceive the technology positively, because they are aware of the benefits (21-40%). NPS 4-6.</t>
  </si>
  <si>
    <t>More consumers perceive the technology positively, because they are aware of the benefits (21-40%).</t>
  </si>
  <si>
    <t>Consumers perceive the technology positively, because most are aware of benefits and identify bad quality products (41-60%).</t>
  </si>
  <si>
    <t>All consumers perceive the technology in general positively because they are aware of benefits and identify bad quality products (61-80%).</t>
  </si>
  <si>
    <t>The extent of which the bioslurry is used and commercialised</t>
  </si>
  <si>
    <t>&lt;40% experience a growth in revenue. There is a low profit margin on the revenue generating products and/or poor market access</t>
  </si>
  <si>
    <t>40-60% regurarly use bioslurry on their crops. Some farmers produce bioslurry-compost and sell it to other farmers.</t>
  </si>
  <si>
    <t>40-60% increase their revenue. The profit margin on the products is low-medium with better market access.</t>
  </si>
  <si>
    <t xml:space="preserve">60-80% use bioslurry regurarly on their crops. Producing and selling bioslurry-compost is common among farmers with biodigesters. </t>
  </si>
  <si>
    <t>Close to a 100% apply bioslurry on their crops . Producing and selling bioslurry-compost is common, and for some, a key revenue-generating activity.</t>
  </si>
  <si>
    <t>Close to a 100% increase their revenue from using the technology</t>
  </si>
  <si>
    <t>The capacity of the end users to invest in biodigesters and applications for better user of slurry.</t>
  </si>
  <si>
    <t>Almost all end users do not have economic capacity to make investments  to increase production.</t>
  </si>
  <si>
    <t>Some end users have limited economic capacity to invest in production.</t>
  </si>
  <si>
    <t>A substantial share of end users have economic capacity to invest in production.</t>
  </si>
  <si>
    <t>Almost all end users have economic capacity to invest in their production.</t>
  </si>
  <si>
    <t>National targets are non-existent.</t>
  </si>
  <si>
    <t>No existing policies that aims to scale-up biodigesters</t>
  </si>
  <si>
    <t>No existing policies for energy access technologies</t>
  </si>
  <si>
    <t>Policies are planned and/or in the process to be adopted.</t>
  </si>
  <si>
    <t xml:space="preserve">Effective policies are implemented. </t>
  </si>
  <si>
    <t>Policies are consolidated and enforced as intended.</t>
  </si>
  <si>
    <t>Tax benefits expanded or retracted, depending on self-sustaining character of the market</t>
  </si>
  <si>
    <t>Partial or full direct subsidies on the demand side are high in order to “introduce” the technology. Highly donor-based; over 50% of consumer price.</t>
  </si>
  <si>
    <t>First financing mechanisms (including subsidies) emerge/are tested (pilots) – usually donor-driven, but below 50% of consumer price.</t>
  </si>
  <si>
    <t>Donor driven subsidies are retracted (20-0% of consumer price) or scheduled to be phased out or really targeted at the poor.</t>
  </si>
  <si>
    <t>Financing options and investments suppliers</t>
  </si>
  <si>
    <t>Financing options available only through donors. Low investments due to financial constraints.</t>
  </si>
  <si>
    <t xml:space="preserve">Most local financial institutions are still reluctant to offer financing. Only donors offer funding. Financial constrains inhibits private investment. </t>
  </si>
  <si>
    <t xml:space="preserve">Financing options for businesses are available as products/services are recognized as profitable by local financial institutions. </t>
  </si>
  <si>
    <t>Financial institutions offer good terms and conditions for businesses. Businesses are less limited by financial constraints.</t>
  </si>
  <si>
    <t>Financing options consumers</t>
  </si>
  <si>
    <t>Businesses start developing consumer financing mechanisms (PAYGO, micro-loans). Financial institutions begin to offer consumer financing.</t>
  </si>
  <si>
    <t>Businesses and financial institutions offer a great variety of financing mechanisms targeting different customer segments.</t>
  </si>
  <si>
    <t>The existence of regulations, norms, labels and standards for the quality of biodigesters and possibly also for bioslurry-compost</t>
  </si>
  <si>
    <t>No quality codes and standards that set a baseline level of quality, durability, and truth-in-advertising</t>
  </si>
  <si>
    <t>Regulators start working on or consider appropriate codes and standards.</t>
  </si>
  <si>
    <t>Regulators adopt national or international codes and standards.</t>
  </si>
  <si>
    <t>Suppliers are bound to quality codes and standards.</t>
  </si>
  <si>
    <t>Enforcement/compliance is working well.</t>
  </si>
  <si>
    <t>Public or private, or a mix of market facilitation organizations are non-existent.</t>
  </si>
  <si>
    <t>Emergence of public funded market facilitation organization planned and/or in the process to be established.</t>
  </si>
  <si>
    <t>Emergence of public and/or private market facilitation organizations.</t>
  </si>
  <si>
    <t>Well-established  and effective market facilitation organizations</t>
  </si>
  <si>
    <t>No awareness campaigns at government level. 
Donor-driven activities push to raise awareness</t>
  </si>
  <si>
    <t>Big push of consumer awareness raising activities by donors with support of Governments</t>
  </si>
  <si>
    <t>No specialised, technology-specific study courses/trainings</t>
  </si>
  <si>
    <t>Trainings offered mainly by donors only.</t>
  </si>
  <si>
    <t>Specialised study courses start to emerge. Demand for skilled labour force increases (usually with a lag).</t>
  </si>
  <si>
    <t>Availability of a variety of specialised study courses/trainings for energy access professionals and technicians</t>
  </si>
  <si>
    <t>No Business Development Training courses</t>
  </si>
  <si>
    <t>The training offered by donors includes some business skills.</t>
  </si>
  <si>
    <t>Labour force trained by donors seeks business courses outside of project.</t>
  </si>
  <si>
    <t>BDT is included in specialised training for RE professionals.</t>
  </si>
  <si>
    <t xml:space="preserve">Importance of donors for user trainings is high. </t>
  </si>
  <si>
    <t>Trainings are still provided by donors for early adopters; businesses offer only limited trainings.</t>
  </si>
  <si>
    <t>Donors make businesses understand the importance of user trainings.</t>
  </si>
  <si>
    <t>Businesses recognize the importance of user trainings and offer widespread support.</t>
  </si>
  <si>
    <t>Market phase per VAR</t>
  </si>
  <si>
    <t>Agg. For Spider</t>
  </si>
  <si>
    <t>Trends per VAR (Symbol)</t>
  </si>
  <si>
    <t>Trends per VAR
(Text)</t>
  </si>
  <si>
    <t>Phase 3</t>
  </si>
  <si>
    <t>Phase 4</t>
  </si>
  <si>
    <t>Market phase and trends NOT measured</t>
  </si>
  <si>
    <t>Market phase and trends DOESN'T apply</t>
  </si>
  <si>
    <t>List 'Not meassured'</t>
  </si>
  <si>
    <t>List "Doesn't apply'</t>
  </si>
  <si>
    <t>Country name</t>
  </si>
  <si>
    <t>TOTAL Variables</t>
  </si>
  <si>
    <t>Names and elements for drop-down lists and formulas</t>
  </si>
  <si>
    <t>Ind.</t>
  </si>
  <si>
    <t>Variabl.</t>
  </si>
  <si>
    <t>Critical/ unkown trend</t>
  </si>
  <si>
    <t>Per variable</t>
  </si>
  <si>
    <t>Share</t>
  </si>
  <si>
    <t>Measured</t>
  </si>
  <si>
    <t>NOT measured</t>
  </si>
  <si>
    <t>N.A.</t>
  </si>
  <si>
    <t>TOTAL</t>
  </si>
  <si>
    <t>Trends</t>
  </si>
  <si>
    <t>Keyboard shortcut</t>
  </si>
  <si>
    <t>Market phases</t>
  </si>
  <si>
    <t>ICS</t>
  </si>
  <si>
    <t>Dimensions</t>
  </si>
  <si>
    <t>Technologies</t>
  </si>
  <si>
    <t>Data source</t>
  </si>
  <si>
    <t>S1</t>
  </si>
  <si>
    <t>POS</t>
  </si>
  <si>
    <t>h</t>
  </si>
  <si>
    <t>Solar</t>
  </si>
  <si>
    <t>SPT</t>
  </si>
  <si>
    <t>k</t>
  </si>
  <si>
    <t>- between phase 0 and I</t>
  </si>
  <si>
    <t>SHS</t>
  </si>
  <si>
    <t>SOL</t>
  </si>
  <si>
    <t>STA</t>
  </si>
  <si>
    <t>g</t>
  </si>
  <si>
    <t>MHP</t>
  </si>
  <si>
    <t>SNT</t>
  </si>
  <si>
    <t>m</t>
  </si>
  <si>
    <t>BIO</t>
  </si>
  <si>
    <t>Interview</t>
  </si>
  <si>
    <t>NEG</t>
  </si>
  <si>
    <t>i</t>
  </si>
  <si>
    <t>CON</t>
  </si>
  <si>
    <t>n</t>
  </si>
  <si>
    <t>MINI</t>
  </si>
  <si>
    <t>Unknown</t>
  </si>
  <si>
    <t>UNC</t>
  </si>
  <si>
    <t>s</t>
  </si>
  <si>
    <t>ECO</t>
  </si>
  <si>
    <t>Not measured</t>
  </si>
  <si>
    <t>NME</t>
  </si>
  <si>
    <t>ý</t>
  </si>
  <si>
    <t>EVE</t>
  </si>
  <si>
    <t>DSN</t>
  </si>
  <si>
    <t>¬</t>
  </si>
  <si>
    <t>OTH</t>
  </si>
  <si>
    <t>Saturation Phase IV</t>
  </si>
  <si>
    <t>Degeneration Phase V</t>
  </si>
  <si>
    <t>Dimension</t>
  </si>
  <si>
    <t>Indicators
(Data Labels Diagramm)</t>
  </si>
  <si>
    <t>Coordinates per market phase</t>
  </si>
  <si>
    <t>Coordinates per market phase 
X</t>
  </si>
  <si>
    <t xml:space="preserve">Graph 2 
Secondary Axis Y
Scale Dummy </t>
  </si>
  <si>
    <t>Graph 2 
Y Axis Scale Dummy Value2</t>
  </si>
  <si>
    <t>Market phases 
(for X and Y axis)</t>
  </si>
  <si>
    <t>X</t>
  </si>
  <si>
    <t>Y</t>
  </si>
  <si>
    <t>Summary market phases per dimension (number inside Bubbles)</t>
  </si>
  <si>
    <t>Summary market phases per dimension (# inside Bubbles)</t>
  </si>
  <si>
    <t>Pre-commercial phase</t>
  </si>
  <si>
    <t>Pioneering phase</t>
  </si>
  <si>
    <t>Expansion phase</t>
  </si>
  <si>
    <t>Maturity phase</t>
  </si>
  <si>
    <t>Saturation phase</t>
  </si>
  <si>
    <t>Degradation Phase</t>
  </si>
  <si>
    <t>Average per Indicator</t>
  </si>
  <si>
    <t>Rounded</t>
  </si>
  <si>
    <t>INDICATOR</t>
  </si>
  <si>
    <t>Functionality rate is low (&lt;60%). Knowledge concerning proper use and maintenance is informal based on experience</t>
  </si>
  <si>
    <t>Economic capacity to invest in productive use</t>
  </si>
  <si>
    <t>Share of suppliers that offer warranties to their customers and fulfill warranty claims.</t>
  </si>
  <si>
    <t xml:space="preserve">Advertising is mostly based on word-of-mouth. Donors and government agencies do limited marketing. Businesses do not run marketing activities. </t>
  </si>
  <si>
    <t>Targets and scope of national/ regional biodigester programmes.</t>
  </si>
  <si>
    <t xml:space="preserve">Businesses start developing consumer financing mechanisms (e.g. credit sales, delayed payment, bioslurry trade-in, etc.). Financial institutions begin to offer consumer financing. </t>
  </si>
  <si>
    <t>Services are partially available</t>
  </si>
  <si>
    <t>Service easily available</t>
  </si>
  <si>
    <t>Widespread availability of services</t>
  </si>
  <si>
    <t xml:space="preserve">Services are not available yet </t>
  </si>
  <si>
    <t>Number of existing policies that aims to increase biodigester-markets (gas and/or slurry). These can be energy-, environment- and/or agricultural policies.</t>
  </si>
  <si>
    <t>Sales volume of productive use market(s)</t>
  </si>
  <si>
    <t>Tax reliefs and tax benefits on product taxes (e.g. on import duties, tariffs, VAT).</t>
  </si>
  <si>
    <t xml:space="preserve">No special tax relief for energy access technologies </t>
  </si>
  <si>
    <t>Tax relief is planned and possibly adopted but hardly has an effect on the market yet.</t>
  </si>
  <si>
    <t>Tax reliefs and/or benefits related to energy access technologies drive market growth.</t>
  </si>
  <si>
    <t>Production skills</t>
  </si>
  <si>
    <t>Compétence en production</t>
  </si>
  <si>
    <t>No willingness to pay.</t>
  </si>
  <si>
    <t>Total number of suppliers (both biobigester suppliers and other businesses in the sector. Use S4 below for component suppliers and aftersale services)</t>
  </si>
  <si>
    <t>Business size</t>
  </si>
  <si>
    <t>Most producers have standardized production processes with some level of automatisation. In general, quality is high.</t>
  </si>
  <si>
    <t>Some producers have standardized production processes and most steps are manual. The quality standard  is varying.</t>
  </si>
  <si>
    <t>Few producers have standardized production processes and all steps are manual. Most struggle to produce good quality.</t>
  </si>
  <si>
    <t>High level of standardised production with several automated steps. Product quality is consitent and very high.</t>
  </si>
  <si>
    <t>Availability of information concerning products, prices, and the rules governing the market and the supporting functions.</t>
  </si>
  <si>
    <t>Governments support awareness raising activities for consumers in some cases supported by donors.</t>
  </si>
  <si>
    <t>Retracting consumer awareness raising campaigns due to high consumer awareness.</t>
  </si>
  <si>
    <t>Enforcement/compliance is partially effective, however, unorganized and incomplete.</t>
  </si>
  <si>
    <t>No enforcement of regulation, norms, and standrads is yet in place.</t>
  </si>
  <si>
    <t>Enforcement is not yet effective, however, some suppliers comply (wholly or partially) with voluntary and/or international standards.</t>
  </si>
  <si>
    <t>National targets are planned but not yet finally adopted.</t>
  </si>
  <si>
    <t>National targets are in place and adopted and, to some extent, monitored.</t>
  </si>
  <si>
    <t>National targets are effectively monitored and play a role for policy development and dialogue.</t>
  </si>
  <si>
    <t>Consumers and suppliers can more easily acquire market information.</t>
  </si>
  <si>
    <t>There are no consumer or supplier subsidies in place beacuse of the well-developped state of the market.</t>
  </si>
  <si>
    <t>Information on different products, suppliers, prices, and the rules governing the market is publicly available and easily accessible.</t>
  </si>
  <si>
    <t>Donors and government facilitate market information. Still cumbersome for market participants to acquire information.</t>
  </si>
  <si>
    <t>It is difficult for most market participants to acquire knowledge on products and prices as well as the rules governing the market.</t>
  </si>
  <si>
    <t>Prev. assessment 1
Market phase per VAR</t>
  </si>
  <si>
    <t>Prev. assessment 2
Market phase per VAR</t>
  </si>
  <si>
    <t>Low positive profit margins which are  starting to increase. Some businesses invest or have plans to do so.</t>
  </si>
  <si>
    <t>Profit margins increase. They are maximised during this phase. More businesses invest and make plans to expand their business.</t>
  </si>
  <si>
    <t>Profit margins decrease. Over 50% of businesses invest, diversify and expand business</t>
  </si>
  <si>
    <t>No (negative or very low) profit margins. No private investments for this reason and because of uncertain future demand. Investments are subsidised by donors.</t>
  </si>
  <si>
    <t>Fournisseurs initiales</t>
  </si>
  <si>
    <t>None or very few initial suppliers</t>
  </si>
  <si>
    <t>Extent and type of marketing, and level of professionalism in marketing activities.</t>
  </si>
  <si>
    <t>Number of types and brands.</t>
  </si>
  <si>
    <t>Share of target market population that know the product/service.</t>
  </si>
  <si>
    <t>The ability of potential consumers to assess, choose, and specify the product/service that best serves their needs.</t>
  </si>
  <si>
    <t>Only relevant for productive use of energy: Percentage of users who increase their revenue by using the product/service.</t>
  </si>
  <si>
    <t>Targets and scope of energy access national/ regional programmes/ plans and milestones.</t>
  </si>
  <si>
    <t>Number of existing policies and programmes fostering energy access technologies.</t>
  </si>
  <si>
    <t>Extent and type of subsidies.</t>
  </si>
  <si>
    <t>Number and type of financing options for suppliers.</t>
  </si>
  <si>
    <t>The existence of regulations, norms, labels and standards for the quality of products/ services.</t>
  </si>
  <si>
    <t>Existence of independent consumer and supplier associations.</t>
  </si>
  <si>
    <t>Availability of courses  that responds to the demand for specialised business professionals.</t>
  </si>
  <si>
    <t>Number and type of financing options for end users.</t>
  </si>
  <si>
    <t>Neither businesses nor financial institutions offer financing mechanisms for end users.</t>
  </si>
  <si>
    <t>Businesses established financing mechanisms for their customers. 
Financial institutions offer financing options for end users.</t>
  </si>
  <si>
    <t>Types of suppliers and business models including partnership agreements with other companies.</t>
  </si>
  <si>
    <t>Types of business models for biodigester sales and possibly also bioslurry-commercialisation. Including partnership agreements with other companies.</t>
  </si>
  <si>
    <t>Percentage of registered/informal suppliers.</t>
  </si>
  <si>
    <t>Number of employees of a typical supplier.</t>
  </si>
  <si>
    <t>Number of biodigesters sold.</t>
  </si>
  <si>
    <t>Number of systems/products/services sold.</t>
  </si>
  <si>
    <t>Profit margin and investments by suppliers to increase production and/or sales.</t>
  </si>
  <si>
    <t>Number of market participants at each step of the supply chain.</t>
  </si>
  <si>
    <t>Efficiency of distribution channels and capacity to adapt to changes in demand.</t>
  </si>
  <si>
    <t>The share of functioning biodigesters that are used properly and regurarely.</t>
  </si>
  <si>
    <t>Number of digester types, biodigester appliances and integration of bioslurry use in the product.</t>
  </si>
  <si>
    <t>D7</t>
  </si>
  <si>
    <t>PU</t>
  </si>
  <si>
    <t>S6V3</t>
  </si>
  <si>
    <t>empty cell for legacy</t>
  </si>
  <si>
    <t>Productive Use</t>
  </si>
  <si>
    <t>Utilisation productive</t>
  </si>
  <si>
    <t>Not Measured</t>
  </si>
  <si>
    <t>Rounded Ind</t>
  </si>
  <si>
    <t>Productive use</t>
  </si>
  <si>
    <t>Prev. assessment 1
Trend</t>
  </si>
  <si>
    <t>Prev. assessment 2
Trend</t>
  </si>
  <si>
    <t>List  Pre-commercial - Pioneering</t>
  </si>
  <si>
    <t>Legend</t>
  </si>
  <si>
    <t>Supply side comparison</t>
  </si>
  <si>
    <t>Demand side comparison</t>
  </si>
  <si>
    <t>Enabling Environment comparison</t>
  </si>
  <si>
    <t>List Expansion and Maturity
(only negative and unknown trends )</t>
  </si>
  <si>
    <t>Variables above phases II with critical or unknown trends</t>
  </si>
  <si>
    <t>Supply side average score</t>
  </si>
  <si>
    <t>Demand side average score</t>
  </si>
  <si>
    <t>Enabling environment average score</t>
  </si>
  <si>
    <t>Overall average score</t>
  </si>
  <si>
    <t># variables in phase I and II</t>
  </si>
  <si>
    <t># variable above phase II with negative trend</t>
  </si>
  <si>
    <t># variables not measured</t>
  </si>
  <si>
    <t>Prev. assessment 1 att &gt; phase II</t>
  </si>
  <si>
    <t>Prev. assessment 2
aa &gt; phase II</t>
  </si>
  <si>
    <t>S5
Warranties</t>
  </si>
  <si>
    <t>S6
Entrepreneurial skills</t>
  </si>
  <si>
    <t>S5
Garanties</t>
  </si>
  <si>
    <t>S6
Compétences entrepreneuriales</t>
  </si>
  <si>
    <r>
      <t>S6
Entrepreneurial skills</t>
    </r>
    <r>
      <rPr>
        <sz val="10"/>
        <color theme="1"/>
        <rFont val="Calibri"/>
        <family val="2"/>
        <scheme val="minor"/>
      </rPr>
      <t> </t>
    </r>
  </si>
  <si>
    <t>Biodigesteur</t>
  </si>
  <si>
    <t>Types de fournisseurs et modèles d'affaire, y compris les accords de partenariat avec d'autres entreprises.</t>
  </si>
  <si>
    <t>Pourcentage de fournisseurs enregistrés/informels.</t>
  </si>
  <si>
    <t>Nombre d'employés d'un fournisseur typique.</t>
  </si>
  <si>
    <t>Nombre de systèmes/produits/services vendus.</t>
  </si>
  <si>
    <t>Vitesse du cycle d'achat, de vente et de remplacement du stock de systèmes/composants.</t>
  </si>
  <si>
    <t>Marge de profit et investissements des fournisseurs pour augmenter la production et/ou les ventes.</t>
  </si>
  <si>
    <t>Nombre de participants au marché à chaque étape de la chaîne d'approvisionnement.</t>
  </si>
  <si>
    <t>Efficacité des canaux de distribution et capacité d'adaptation à l'évolution de la demande.</t>
  </si>
  <si>
    <t>Nombre de fournisseurs des entreprises du côté de l'offre, par exemple les prestataires de services spécialisés et les fournisseurs de composants (matières premières, pièces de rechange, accessoires, etc.)</t>
  </si>
  <si>
    <t>Nombre d'entreprises fournissant des services après-vente spécialisés aux utilisateurs finaux (par exemple pour les réparations).</t>
  </si>
  <si>
    <t>Part des fournisseurs qui offrent des garanties à leurs clients et satisfont les demandes de garantie.</t>
  </si>
  <si>
    <r>
      <rPr>
        <u/>
        <sz val="10"/>
        <color rgb="FF000000"/>
        <rFont val="Calibri"/>
        <family val="2"/>
        <scheme val="minor"/>
      </rPr>
      <t>Ne concerne que la production locale</t>
    </r>
    <r>
      <rPr>
        <sz val="10"/>
        <color rgb="FF000000"/>
        <rFont val="Calibri"/>
        <family val="2"/>
        <scheme val="minor"/>
      </rPr>
      <t xml:space="preserve"> : Capacité à produire de manière constante en termes de qualité et de quantité.</t>
    </r>
  </si>
  <si>
    <t>Variation de types et de marques.</t>
  </si>
  <si>
    <t>Part des clients potentiels possédant le produit/service.</t>
  </si>
  <si>
    <t>Montant maximal que l'individu moyen est prêt à payer pour le produit ou le service.</t>
  </si>
  <si>
    <t>La part des systèmes vendus qui sont utilisés correctement et régulièrement.</t>
  </si>
  <si>
    <t>La part des cleints potentiels ciblés qui connaît le produit/service.</t>
  </si>
  <si>
    <t>La capacité des consommateurs potentiels à évaluer, choisir et déterminer le produit/service qui répond le mieux à leurs besoins.</t>
  </si>
  <si>
    <t>Objectifs et portée des programmes/ plans nationaux/ régionaux d'accès à l'énergie.</t>
  </si>
  <si>
    <t>Nombre de politiques et de programmes existants favorisant les technologies d'accès à l'énergie.</t>
  </si>
  <si>
    <t>Exonérations fiscales et avantages fiscaux sur les taxes sur les produits (par exemple, sur les droits d'importation, les tarifs, la TVA).</t>
  </si>
  <si>
    <t>Ampleur et type de marketing, et niveau de professionnalisme dans les activités de marketing.</t>
  </si>
  <si>
    <t>Ampleur et qualité de la tenue des registres, des plans d'entreprise et de la détermination des prix.</t>
  </si>
  <si>
    <t>Ampleur et type des subventions.</t>
  </si>
  <si>
    <t>Amplaur et variation d'options de financement pour les fournisseurs.</t>
  </si>
  <si>
    <t>Ampleur et variation d'options de financement pour les utilisateurs finaux.</t>
  </si>
  <si>
    <t>Existence de réglementations, de normes, de labels et de standards pour la qualité des produits/services.</t>
  </si>
  <si>
    <t>Le niveau de conformité des fournisseurs à la réglementation en matière de qualité.</t>
  </si>
  <si>
    <t>Disponibilité des informations concernant les produits, les prix et les règles régissant le marché et les services associés.</t>
  </si>
  <si>
    <t>Existence d'associations indépendantes pour les consommateurs et pour les fournisseurs.</t>
  </si>
  <si>
    <t>Ampleur des activités de sensibilisation et d'éducation.</t>
  </si>
  <si>
    <t>Disponibilité de cours spécialisés et de formations professionnelles répondant à la demande de techniciens qualifiés.</t>
  </si>
  <si>
    <t>Disponibilité de cours répondant à la demande de professionnels spécialisés dans le domaine des affaires.</t>
  </si>
  <si>
    <t>Disponibilité de cours pour l'autonomisation des utilisateurs finaux.</t>
  </si>
  <si>
    <t>L'existence de réglementations, de normes, de labels et de standards pour la qualité des biodigesteurs et éventuellement du lisier-compost.</t>
  </si>
  <si>
    <t>Le degré d'utilisation et de commercialisation du lisier biologique.</t>
  </si>
  <si>
    <t>La capacité des utilisateurs finaux à investir dans des biodigesteurs et des applications pour une meilleure utilisation du lisier.</t>
  </si>
  <si>
    <t>Objectifs et portée des programmes nationaux/régionaux de biodigesteurs.</t>
  </si>
  <si>
    <t>La part des biodigesteurs en fonctionnement qui sont utilisés correctement et régulièrement</t>
  </si>
  <si>
    <t>Nombre de types de digesteurs, d'appareils de biodigesteur et intégration de l'utilisation du lisier dans le produit.</t>
  </si>
  <si>
    <t>Non pertinent</t>
  </si>
  <si>
    <t>Number of employees in a typical business in the biodigester sector  (incl. Bioslurry-compost).</t>
  </si>
  <si>
    <t>Nombre d'employés dans une entreprise type du secteur des biodigesteurs (y compris le lisier-compost).</t>
  </si>
  <si>
    <t>Nombre de biodigesteurs vendus.</t>
  </si>
  <si>
    <t>Nombre de participants du marché à chaque étape de la chaîne d'approvisionnement. Ne concerne que les biodigesteurs préfabriqués.</t>
  </si>
  <si>
    <t>Nombre de foyers vendus</t>
  </si>
  <si>
    <t>Nombre de systèmes vendus</t>
  </si>
  <si>
    <t>The fraction of customers investing in a new product or repairs/spare parts once it breaks or wears down.</t>
  </si>
  <si>
    <t>La fraction des clients qui investissent dans un nouveau produit ou dans des réparations/ pièces de rechange une fois que le produit est cassé ou usagé.</t>
  </si>
  <si>
    <t>Uniquement pour l'utilisation productive de l'énergie : Capacité des clients à investir dans la technologie et les produits associés pour l'augmentation de leur production.</t>
  </si>
  <si>
    <t>Uniquement pour l'utilisation productive de l'énergie : Pourcentage d'utilisateurs qui augmentent leurs revenus en utilisant le produit/service.</t>
  </si>
  <si>
    <t>Nombre total de fournisseurs (par technologie / produit / service. Utilisez S4 ci-dessous pour les fournisseurs de composants et les services après-vente).</t>
  </si>
  <si>
    <t>Nombre total de fournisseurs (fournisseurs de biodigesteurs et autres entreprises du secteur. Utilisez S4 ci-dessous pour les fournisseurs de composants et les services après-vente).</t>
  </si>
  <si>
    <t>Types de modèles commerciaux pour la vente de biodigesteurs et, éventuellement, pour la commercialisation de lisier. Y compris les partenariat avec d'autres entreprises.</t>
  </si>
  <si>
    <t>Vitesse du cycle d'achat, de vente et de remplacement du stock de biodigesteurs (dans le cas de systèmes préfabriqués) et d'appareils.</t>
  </si>
  <si>
    <t>Marge de profit sur les biodigesteurs et éventuellement sur le compost de lisier et investissements des fournisseurs pour augmenter leur vente.</t>
  </si>
  <si>
    <t>Nombre de politiques existantes visant à accroître les marchés des biodigesteurs (gaz et/ ou lisier). Soit de politiques énergétiques, environnementales et/ ou agricoles.</t>
  </si>
  <si>
    <t>Prix, coûts, profits</t>
  </si>
  <si>
    <t>Compétences en affaires</t>
  </si>
  <si>
    <t>Profits et investissements</t>
  </si>
  <si>
    <t>Sensibilisation</t>
  </si>
  <si>
    <t>Capacité economique pour investir dans l'utilisation productive</t>
  </si>
  <si>
    <t>Volume de ventes des marchés d'utilisation productive</t>
  </si>
  <si>
    <t>Brève description du marché :
Que regardez-vous?</t>
  </si>
  <si>
    <t>Pas (ou très peu) d'entreprises.</t>
  </si>
  <si>
    <t>La plupart des entreprises opèrent dans un cadre informel (&gt;85% ne paient pas d'impôts).</t>
  </si>
  <si>
    <t>Pas (ou très peu) d'emplois créés ; 1 à 5 employés par entreprise.</t>
  </si>
  <si>
    <t>Pas (ou très peu) d'emplois créés ; activité commerciale unipersonnelle.</t>
  </si>
  <si>
    <t>Volume des ventes très faible.</t>
  </si>
  <si>
    <t>Faible taux de rotation des stocks. Les produits se vendet très lendement.</t>
  </si>
  <si>
    <t>Introduits par des bailleurs/ONG en tant que projets pilotes sans que des modèles d'entreprise ou de distribution aient été définis. Pas de partenariats commerciaux.</t>
  </si>
  <si>
    <t>Chaîne d'approvisionnement en deux étapes : Fournisseur (producteur-distributeur ou importateur-distributeur) aux clients.</t>
  </si>
  <si>
    <t>Il n'existe pas de canaux de distribution appropriés.</t>
  </si>
  <si>
    <t>Chaîne d'approvisionnement en deux étapes : Importateur-distributeur/ revendeur aux clients</t>
  </si>
  <si>
    <t>Pas ou très peu de fournisseurs initiaux.</t>
  </si>
  <si>
    <t>Les services ne sont pas encore disponibles.</t>
  </si>
  <si>
    <t>Les garanties ne sont pas accordées.</t>
  </si>
  <si>
    <t xml:space="preserve">Les compétences commerciales sont faibles (par exemple, mauvaise fixation des prix, tenue insuffisante des registres, absence de plans d'entreprise). </t>
  </si>
  <si>
    <t>Peu de producteurs ont des processus de production standardisés et toutes les étapes sont manuelles. La plupart  s'efforcent de produire des produits de bonne qualité.</t>
  </si>
  <si>
    <t>Il n'existe qu'un choix très limitée de produits/services de qualité sur le marché.</t>
  </si>
  <si>
    <t>Il n'existe qu'un choix très limité de modèles de biodigesteurs sur le marché. Les appareils se limitent principalement aux brûleurs/réchauds à gaz.</t>
  </si>
  <si>
    <t>Le taux de pénétration du marché est faible (&lt; 5 %), car seuls les innovateurs (2 à 5 % de tous les clients potentiels) ont adopté la technologie.</t>
  </si>
  <si>
    <t>L'absence de volonté de payer est associée par une faible capacité de payer.</t>
  </si>
  <si>
    <t>Le taux d'utilisation est faible. Les connaissances concernant l'utilisation correcte sont informelles et basées sur l'expérience</t>
  </si>
  <si>
    <t xml:space="preserve">Pas encore de remplacement ni de réparation. </t>
  </si>
  <si>
    <t>Pas (ou très peu) de sensibilisation : &lt; 5 % des consommateurs potentiels connaissent la technologie.</t>
  </si>
  <si>
    <t>Seuls quelques consommateurs perçoivent la technologie de manière positive, la plupart n'étant pas conscients de ses avantages (&lt; 20 %).</t>
  </si>
  <si>
    <t>Moins de 40 % des entreprises connaissent une croissance de leur chiffre d'affaires. La marge bénéficiaire des produits générateurs de revenus est faible et/ou l'accès au marché est médiocre.</t>
  </si>
  <si>
    <t>Moins de 40 % appliquent le lisier biologique sur leurs cultures en tant qu'engrais. Le compost de lisier n'est pas commercialisé.</t>
  </si>
  <si>
    <t>Presque tous les utilisateurs finaux n'ont pas la capacité économique de faire des investissements pour augmenter la production.</t>
  </si>
  <si>
    <t>Pas d'existance des objectifs nationaux.</t>
  </si>
  <si>
    <t>Aucune politiques existantes pour les technologies d'accès à l'énergie</t>
  </si>
  <si>
    <t>Aucune politique existante visant à développer les biodigesteurs</t>
  </si>
  <si>
    <t xml:space="preserve">Pas d'allègement fiscal spécial pour les technologies d'accès à l'énergie </t>
  </si>
  <si>
    <t>Les subventions partielles ou totales élevées du côté de la demande afin "d'introduire" la technologie. Fortement basées sur les bailleurs ; plus de 50 % du prix à la consommation.</t>
  </si>
  <si>
    <t>Les options de financement ne sont disponibles que par l'intermédiation des bailleurs. Faibles investissements en raison de contraintes financières.</t>
  </si>
  <si>
    <t>Ni les entreprises, ni les institutions financières ne proposent de mécanismes de financement aux utilisateurs finaux.</t>
  </si>
  <si>
    <t>Absence de normes de qualité fixant un niveau de référence en matière de qualité, de durabilité et de credibilité du marketing.</t>
  </si>
  <si>
    <t>Aucune application de la réglementation, des normes et des standards n'est encore en place.</t>
  </si>
  <si>
    <t>Il est difficile pour la plupart des acteurs du marché d'acquérir l'information sur les produits et les prix, ainsi que sur les règles régissant le marché.</t>
  </si>
  <si>
    <t>Il n'existe pas d'organisations de facilitation du marché: pas de publiques, pas de privées et même pas de combinaisons de ces deux types d'organisations.</t>
  </si>
  <si>
    <t>Pas de campagnes de sensibilisation au niveau gouvernemental.
Les activités menées par les bailleurs de fonds visent à sensibiliser le public.</t>
  </si>
  <si>
    <t>Pas de cours/formations spécialisés et spécifiques à la technologie.</t>
  </si>
  <si>
    <t>Pas de cours de formation au développement des entreprises.</t>
  </si>
  <si>
    <t xml:space="preserve">Grande dependance aux bailleurs pour les formations destinées aux utilisateurs. </t>
  </si>
  <si>
    <t>Peu d'entreprises</t>
  </si>
  <si>
    <t xml:space="preserve">Le marketing repose sur le bouche-à-oreille. Les bailleurs de fonds et les agences gouvernementales font un peu de marketing. Les entreprises ne mènent pas d'activités de marketing. </t>
  </si>
  <si>
    <t>Aucune marge de profit (négative ou très faible). Pas d'investissements privés pour cette raison et en raison de l'incertitude de la demande future. Les investissements sont subventionnés par les bailleurs.</t>
  </si>
  <si>
    <t>Entreprises qui sont principalement des producteurs ou de petits importateurs/détaillants avec un modèle d'entreprise traditionnel. Elles ont commencé à s'engager dans des partenariats commerciaux.</t>
  </si>
  <si>
    <t>Commercialisés dans le cadre de modèles d'entreprise traditionnels. Les entreprises ont commencé à s'engager dans des partenariats.</t>
  </si>
  <si>
    <t>Petits importateurs/détaillants avec un modèle d'entreprise traditionnel. Ils ont commencé à s'engager dans des partenariats commerciaux.</t>
  </si>
  <si>
    <t>Entités unipersonnelles qui sont principalement des producteurs. Les entreprises créent d'abord des partenariats pour instaurer la confiance (par le biais de l'enregistrement des paiements).</t>
  </si>
  <si>
    <t>La plupart des entreprises opèrent dans un cadre informel (67 à 84 % ne paient pas d'impôts).</t>
  </si>
  <si>
    <t>Faible nombre d'employés (moins de 20).</t>
  </si>
  <si>
    <t>Faible nombre d'employés (moins de 20). La plupart sont employés à la demande</t>
  </si>
  <si>
    <t>Faible volume de ventes avec une augmentation lente</t>
  </si>
  <si>
    <t>Low sales volume with slow increase</t>
  </si>
  <si>
    <t xml:space="preserve">Le taux de rotation des stocks reste faible. Les produits se vendent toujours lentement. </t>
  </si>
  <si>
    <t>Faibles marges de profit positives qui commencent à augmenter. Certaines entreprises investissent ou prévoient de le faire.</t>
  </si>
  <si>
    <t>Chaînes d'approvisionnement courtes : La production/importation, la distribution, la vente en gros et la vente au détail sont généralement assurées par la même entité.</t>
  </si>
  <si>
    <t>Faibles canaux de distribution</t>
  </si>
  <si>
    <t>Peu de fournisseurs initiaux</t>
  </si>
  <si>
    <t>Les services sont partiellement disponibles</t>
  </si>
  <si>
    <t>Garanties limitées aux produits à "faible" risque (par exemple, les produits de haute qualité ou les produits très robustes), seules quelques entreprises offrent des garanties.</t>
  </si>
  <si>
    <t>Certaines compétences commerciales se développent.</t>
  </si>
  <si>
    <t>Le marketing est assuré par les bailleurs et, dans une certaine mesure, par les entreprises (par exemple, un panneau devant le magasin). Les entreprises ont peu de connaissances pour mener des activités de marketing.</t>
  </si>
  <si>
    <t>Certains producteurs ont des processus de production standardisés et la plupart des étapes sont manuelles. Les normes de qualité varient.</t>
  </si>
  <si>
    <t xml:space="preserve">Le taux de pénétration du marché augmente (6-15 %), d'abord dans les régions où se trouve l'offre. </t>
  </si>
  <si>
    <t>Davantage de choix des produits/services apparaissent pour répondre à différents besoins/préférences.</t>
  </si>
  <si>
    <t>La volonté de payer augmente à mesure que les consommateurs apprennent à connaître le produit/service, mais cette volonté est faible pour les produits de qualité.</t>
  </si>
  <si>
    <t>Les taux d'utilisation commencent à augmenter. Certains utilisateurs savent comment utiliser correctement la technologie.</t>
  </si>
  <si>
    <t>Les taux de fonctionnalité commencent à augmenter (60-85%). Certains utilisateurs savent comment utiliser correctement la technologie.</t>
  </si>
  <si>
    <t>Les premiers remplacements/réparations ont lieu. Le taux de remplacement/réparation est faible.</t>
  </si>
  <si>
    <t>Croissance rapide de la notoriété : 6 à 30 % des consommateurs potentiels connaissent la technologie.</t>
  </si>
  <si>
    <t>Davantage de consommateurs perçoivent la technologie de manière positive, car ils sont conscients de ses avantages (21-40%).</t>
  </si>
  <si>
    <t>40-60% augmentent leurs revenus. La marge bénéficiaire sur les produits est faible à moyenne avec un meilleur accès au marché.</t>
  </si>
  <si>
    <t>40 à 60 % utilisent régulièrement du lisier biologique sur leurs cultures. Certains agriculteurs produisent du compost de lisier biologique et le vendent à d'autres agriculteurs.</t>
  </si>
  <si>
    <t>Certains utilisateurs finaux ont une capacité économique limitée pour investir dans la production.</t>
  </si>
  <si>
    <t>Des objectifs nationaux sont prévus mais n'ont pas encore été adoptés.</t>
  </si>
  <si>
    <t>Des politiques sont prévues et/ou en cours d'adoption.</t>
  </si>
  <si>
    <t>Des allègements fiscaux sont prévus et éventuellement adoptés, mais ils n'ont guère d'effet sur le marché pour l'instant.</t>
  </si>
  <si>
    <t>Les régulateurs commencent à travailler sur des codes et des normes appropriés ou envisagent de le faire.</t>
  </si>
  <si>
    <t>La mise en œuvre n'est pas encore effective, mais certains fournisseurs se conforment (entièrement ou partiellement) aux normes volontaires et/ou internationales.</t>
  </si>
  <si>
    <t>L'émergence d'une organisation de facilitation du marché financée par le secteur public est prévue et/ou en cours de création.</t>
  </si>
  <si>
    <t>Les bailleurs et le gouvernement facilitent l'information sur le marché. Il est toujours difficile pour les acteurs du marché d'obtenir des informations</t>
  </si>
  <si>
    <t>Les bailleurs de fonds, avec le soutien des gouvernements, donnent une forte impulsion aux activités de sensibilisation des consommateurs.</t>
  </si>
  <si>
    <t>Les formations sont essentiellement proposées par les bailleurs de fonds.</t>
  </si>
  <si>
    <t>Les formations proposées par les donateurs incluent certaines compétences commerciales.</t>
  </si>
  <si>
    <t>Les formations sont toujours offertes par les bailleurs pour les premiers utilisateurs ; les entreprises n'offrent que des formations limitées.</t>
  </si>
  <si>
    <t>Augmentation du nombre de nouvelles entreprises entrant sur le marché</t>
  </si>
  <si>
    <t>Différents modèles d'affaire et de distribution sont en place. Les entreprises ont davantage de partenariats (par exemple, crédit commercial).</t>
  </si>
  <si>
    <t>Davantage d'entreprises sont formellement enregistrées (33-49%).</t>
  </si>
  <si>
    <t>Augmentation du nombre d'employés (20-99 employés) chez les grands acteurs du marché et/ou les petites entreprises se développent.</t>
  </si>
  <si>
    <t>Des volumes de vente plus élevés avec une augmentation rapide (de nombreux systèmes sont vendus).</t>
  </si>
  <si>
    <t>Ratio de rotation des stocks élevé. Les produits commencent à se vendre un peu plus rapidement qu'auparavant. Il existe un risque de surstockage et d'obsolescence</t>
  </si>
  <si>
    <t>Les marges de profit augmentent. Elles sont maximisées durant cette phase. Davantage d'entreprises investissent et prévoient de développer leurs activités.</t>
  </si>
  <si>
    <t>Croissance visible des chaînes d'approvisionnement : Les différentes étapes de la chaîne d'approvisionnement sont réalisées par des entités différentes.</t>
  </si>
  <si>
    <t>Amélioration des canaux/réseaux de distribution</t>
  </si>
  <si>
    <t>Beaucoup de fournisseurs initiaux</t>
  </si>
  <si>
    <t>Service facilement disponible</t>
  </si>
  <si>
    <t>Garanties mises en œuvre pour promouvoir les ventes et la fidélité à la marque, ainsi que pour encourager la confiance des consommateurs dans le produit/service.</t>
  </si>
  <si>
    <t>Amélioration des compétences commerciales.</t>
  </si>
  <si>
    <t>Les entreprises font du marketing de manière diversifiée (par exemple, dans les salles d'exposition, à la radio, sur les vélos). Les entreprises comprennent le potentiel du marketing.</t>
  </si>
  <si>
    <t>La plupart des producteurs ont des processus de production standardisés avec un certain niveau d'automatisation. En général, la qualité est élevée.</t>
  </si>
  <si>
    <t xml:space="preserve">Les taux de pénétration sont élevés dans la zone initiale du marché immédiat (16-30%). </t>
  </si>
  <si>
    <t>Au fur et à mesure que le choix de produits/services augmente, plus de clients sont touchés. La disposition à payer varie beaucoup entre segments.</t>
  </si>
  <si>
    <t>Taux d'utilisation plus élevé. La plupart des utilisateurs savent comment utiliser correctement la technologie.</t>
  </si>
  <si>
    <t>La plupart des consommateurs potentiels (31-60%) connaissent la technologie.</t>
  </si>
  <si>
    <t>Les consommateurs perçoivent la technologie de manière positive (41-60 %), car la plupart d'entre eux sont conscients de ses avantages et savent reconnaître les produits de mauvaise qualité.</t>
  </si>
  <si>
    <t>60-80% increase revenue from using the technology. It is common among productive end users.</t>
  </si>
  <si>
    <t>60 à 80 % augmentent leurs revenus grâce à l'utilisation de la technologie. Ce phénomène est courant chez les utilisateurs finaux qui produissent.</t>
  </si>
  <si>
    <t>Une part importante des utilisateurs finaux ont la capacité économique d'investir dans la production.</t>
  </si>
  <si>
    <t>Des objectifs nationaux sont en place, adoptés et, dans une certaine mesure, contrôlés.</t>
  </si>
  <si>
    <t xml:space="preserve">Des politiques efficaces sont mises en œuvre. </t>
  </si>
  <si>
    <t>Les allègements fiscaux et/ou les avantages liés aux technologies d'accès à l'énergie stimulent la croissance du marché.</t>
  </si>
  <si>
    <t xml:space="preserve">Les options de financement pour les entreprises sont disponibles car les produits/services sont reconnus comme rentables par les institutions financières locales. </t>
  </si>
  <si>
    <t>Les régulateurs adoptent des codes et des normes nationaux ou internationaux.</t>
  </si>
  <si>
    <t>La mise en application/conformité est partiellement efficace, mais elle est inorganisée et incomplète.</t>
  </si>
  <si>
    <t>Les consommateurs et les fournisseurs peuvent plus facilement obtenir des informations sur le marché.</t>
  </si>
  <si>
    <t>Émergence d'organisations publiques et/ou privées de facilitation du marché.</t>
  </si>
  <si>
    <t>Les gouvernements soutiennent les activités de sensibilisation des consommateurs, parfois avec l'aide de bailleurs.</t>
  </si>
  <si>
    <t>Des cours spécialisés commencent à voir le jour. La demande de main-d'œuvre qualifiée augmente (généralement avec un certain retard).</t>
  </si>
  <si>
    <t>La main-d'œuvre formée par les bailleurs cherche à suivre des cours de commerce en dehors du projet.</t>
  </si>
  <si>
    <t>Les bailleurs font comprendre aux entreprises l'importance des formations destinées aux utilisateurs.</t>
  </si>
  <si>
    <t xml:space="preserve">60 à 80 % utilisent régulièrement du lisier biologique sur leurs cultures. La production et la vente de compost de lisier sont courantes chez les agriculteurs équipés de biodigesteurs. </t>
  </si>
  <si>
    <t>Taux de fonctionnalité plus élevé (85-95%). La plupart des utilisateurs savent comment utiliser correctement la technologie.</t>
  </si>
  <si>
    <t>Le nombre d'entreprises commence à diminuer. Rachats/fusions et émergence d'entreprises dominantes.</t>
  </si>
  <si>
    <t>Modèles d'entreprise consolidés avec de nombreux partenariats.</t>
  </si>
  <si>
    <t>La majorité des entreprises sont formellement enregistrées.</t>
  </si>
  <si>
    <t>Variété d'entreprises avec un large éventail de personnel différent. Le nombre total d'emplois sur le marché est relativement stable.</t>
  </si>
  <si>
    <t>Bonnes compétences commerciales</t>
  </si>
  <si>
    <t>Niveau élevé de production standardisée avec plusieurs étapes automatisées. La qualité des produits est constante et très élevée.</t>
  </si>
  <si>
    <t>Les différents besoins de chaque segment de consommateurs (en ce qui concerne les services et/ou les préférences) sont satisfaits par une diversité de produits/services.</t>
  </si>
  <si>
    <t>Les clients sont prêts à payer le prix fixé par les entreprises, car ils apprécient le produit/service.</t>
  </si>
  <si>
    <t>Le taux d'utilisation est proche de 100 %. Presque tous les utilisateurs savent comment utiliser correctement la technologie.</t>
  </si>
  <si>
    <t>Le taux de remplacement est proche de 100 % Presque tous les utilisateurs remplacent ou réparent leur technologie défectueuse.</t>
  </si>
  <si>
    <t>Tous les consommateurs ont une perception positive de la technologie en général, car ils sont conscients de ses avantages et savent reconnaître les produits de mauvaise qualité (61-80 %).</t>
  </si>
  <si>
    <t>Près de 100 % des utilisateurs augmentent leurs revenus grâce à l'utilisation de la technologie.</t>
  </si>
  <si>
    <t>Presque tous les utilisateurs finaux ont la capacité économique d'investir dans leur production.</t>
  </si>
  <si>
    <t>Les objectifs nationaux font l'objet d'un suivi efficace et jouent un rôle dans l'élaboration des politiques et le dialogue.</t>
  </si>
  <si>
    <t>Les politiques sont consolidées et appliquées comme prévu.</t>
  </si>
  <si>
    <t>Les avantages fiscaux sont étendus ou supprimés, en fonction du caractère autonome du marché.</t>
  </si>
  <si>
    <t>Il n'existe pas de subventions aux consommateurs ou aux fournisseurs en raison de l'état de développement du marché.</t>
  </si>
  <si>
    <t>Les institutions financières offrent de bonnes conditions aux entreprises. Les entreprises sont moins limitées par des contraintes financières.</t>
  </si>
  <si>
    <t>Les entreprises et les institutions financières proposent une grande variété de mécanismes de financement ciblant différents segments de clientèle.</t>
  </si>
  <si>
    <t>Les fournisseurs sont tenus de respecter des codes et des normes de qualité.</t>
  </si>
  <si>
    <t>L'application/le respect des règles fonctionne bien.</t>
  </si>
  <si>
    <t>Les informations sur les différents produits, les fournisseurs, les prix et les règles régissant le marché sont disponibles publiquement et facilement accessibles.</t>
  </si>
  <si>
    <t>Disponibilité d'une variété de cours/formations spécialisés pour les professionnels et les techniciens de l'accès à l'énergie</t>
  </si>
  <si>
    <t>Les entreprises reconnaissent l'importance des formations destinées aux utilisateurs et offrent un soutien généralisé.</t>
  </si>
  <si>
    <t>Distribution massive ; les volumes de vente se stabilisent au même niveau que des remplacements.</t>
  </si>
  <si>
    <t>Ratio de rotation des stocks très élevé. La plupart du temps, les produits se vendent  rapidement.</t>
  </si>
  <si>
    <t>Les marges de profit diminuent. Plus de 50 % des entreprises investissent, se diversifient et développent leurs activités.</t>
  </si>
  <si>
    <t>Canaux de distribution/réseau consolidé.</t>
  </si>
  <si>
    <t>Infrastructure de réseau établie de fournisseurs initiaux.</t>
  </si>
  <si>
    <t>Grande disponibilité des services.</t>
  </si>
  <si>
    <t>Les garanties sont un  element intégré de l'offre des fournisseurs de technologies de qualité.</t>
  </si>
  <si>
    <t>Marketing orienté vers des groupes particuliers. Les entreprises exploitent le potentiel de marketing et son efficacité est mesurée.</t>
  </si>
  <si>
    <t xml:space="preserve">Le marché actuel est arrivée bien au-delà de la zone initiale du marché immédiat et des groupes cibles immédiates (31-55%). </t>
  </si>
  <si>
    <t>Le taux de fonctionalité est proche de 100 %. Presque tous les utilisateurs savent comment utiliser correctement la technologie.</t>
  </si>
  <si>
    <t>La quasi-totalité des consommateurs potentiels connaissent la technologie et son prix (61-80%).</t>
  </si>
  <si>
    <t>Des organisations de facilitation du marché bien établies et efficaces.</t>
  </si>
  <si>
    <t>Retrait des campagnes de sensibilisation des consommateurs en raison du niveau elevé de comprehénsion déjà existant.</t>
  </si>
  <si>
    <t>La formation commerciale est incluse dans la formation spécialisée des professionnels de l'énergie.</t>
  </si>
  <si>
    <t>Près de 100 % appliquent du lisier sur leurs cultures. La production et la vente de lisier-compost est courante et constitue, pour certains, une activité génératrice de revenus importante.</t>
  </si>
  <si>
    <t>Le taux de remplacement/ réparation est élevé. Les remplacements/réparations deviennent plus courants. Les technologies défectueuses sont remplacées/réparées à l’échelle.</t>
  </si>
  <si>
    <t>Les produits/ services améliorés dominent le marché. Des variantes apparaissent pour différents segments de consommateurs</t>
  </si>
  <si>
    <t>Un plus grand choix de digesteurs et d'appareils. L'accent est mis sur l'énergie productive. Des entreprises (spécialisées) fournissent des infrastructures et des services de vulgarisation.</t>
  </si>
  <si>
    <t>Le choix des digesteurs est toujours limité et l'accent reste mis sur le gaz. Les entreprises commencent à proposer une gamme de fourneaux et des solutions de base pour le lisier.</t>
  </si>
  <si>
    <t>Chaînes d'approvisionnement complexes et/ou efficaces : Des étapes clairement définies de la chaîne d'approvisionnement sont réalisées par des entités différentes.</t>
  </si>
  <si>
    <t>Les premiers mécanismes de financement / subventions apparaissent ou sont testés (projets pilotes) - souvent à l'initiative des bailleurs. Dessous de 50 % du prix.</t>
  </si>
  <si>
    <t>Les subventions accordées par les bailleurs ont été supprimées (20 à 0 % du prix à la consommation), il est prévu de les supprimer progressivement ou les destinées aux pauvres.</t>
  </si>
  <si>
    <t>La plupart des institutions financières locales sont encore réticentes à proposer des financements. Seuls les bailleurs proposent des financements.</t>
  </si>
  <si>
    <t>Les entreprises commencent à développer le financement pour les clients (ex. PAYGO). Les institutions financières commencent à financer les consommateurs.</t>
  </si>
  <si>
    <t>Les entreprises ont mis en place des mécanismes de financement pour leurs clients. Les institutions financières offrent des options de financement aux utilisateurs finaux.</t>
  </si>
  <si>
    <t>August 2024</t>
  </si>
  <si>
    <t>Indicate country and, if relevant, describe geographic boundaries of the assessment (eg. if only certain regions or provinces are assessed).</t>
  </si>
  <si>
    <t>When was this assessment done?</t>
  </si>
  <si>
    <t>Select technology from the drop-down list, and, if relevant, describe technological boundaries of the assessment: For instance if only products of specific tiers or of certain types are assessed</t>
  </si>
  <si>
    <t>Indicate year of the assessment and when the assessment was done</t>
  </si>
  <si>
    <t>Indicate name of the organisation performing the assessment and,  briefly, the methods used (extent of literature use, interviews, workshops, and own assessment based on experience)</t>
  </si>
  <si>
    <t>For each variable:
1) Select the market phase that best describes the situation (see benchmarks below)
2) Indicate the trend over the last two years
3) Provide an explanation for the scoring
4) Select the main type of data source used to assess the variable
When complete, provide a short description of the overall picture of the demand side of the market</t>
  </si>
  <si>
    <t>Pour chaque variable :
1) Sélectionnez la phase de marché qui décrit la situation le mieux (voir les références ci-dessous)
2) Indiquez la tendance au cours des deux dernières années
3) Fournissez une explication pour le pointage
4) Sélectionnez le principal type de source de données utilisée pour évaluer la variable
Une fois terminé, fournissez une brève description de la situation globale de la demande du marché.</t>
  </si>
  <si>
    <t>For each variable:
1) Select the market phase that best describes the situation (see benchmarks below)
2) Indicate the trend during the last two years
3) Provide an explanation for the scoring
4) Select the main type of data source used to assess the variable
When complete, provide a short description of the overall picture of the supply side of the market</t>
  </si>
  <si>
    <t>For each variable:
1) Select the market phase that best describes the situation (see benchmarks below)
2) Indicate the trend during the last two years
3) Provide an explanation for the scoring
4) Select the main type of data source used to assess the variable
When complete, provide a short description of the overall picture of the enabling environment</t>
  </si>
  <si>
    <t>Market facilitation organisations</t>
  </si>
  <si>
    <t>Availability of courses for the empowerment of end-users.</t>
  </si>
  <si>
    <t>Availability of specialised courses and vocational training that respond to the demand for skilled technicians.</t>
  </si>
  <si>
    <t>Extent of awareness-raising and educational activities.</t>
  </si>
  <si>
    <t>The extent to which suppliers comply with quality regulations.</t>
  </si>
  <si>
    <t>Only relevant for productive use of energy: The capacity of end-users to invest in the technology and associated products needed to increase production.</t>
  </si>
  <si>
    <t>The share of systems sold that are used properly and regularly.</t>
  </si>
  <si>
    <r>
      <rPr>
        <u/>
        <sz val="10"/>
        <color rgb="FF000000"/>
        <rFont val="Calibri"/>
        <family val="2"/>
        <scheme val="minor"/>
      </rPr>
      <t>Only relevant for local production</t>
    </r>
    <r>
      <rPr>
        <sz val="10"/>
        <color rgb="FF000000"/>
        <rFont val="Calibri"/>
        <family val="2"/>
        <scheme val="minor"/>
      </rPr>
      <t>: Ability to produce consistently in terms of quality and quantity.</t>
    </r>
  </si>
  <si>
    <t>Extent and quality of records keeping, business plans, and price setting.</t>
  </si>
  <si>
    <t>Number of businesses providing specialised aftersale services to end-users (for instance on repairs).</t>
  </si>
  <si>
    <t>Number of suppliers to the supply-side businesses e.g. specialised service providers and component-suppliers (raw materials, spare parts, accessories, etc.)</t>
  </si>
  <si>
    <t>Total number of suppliers (per technology, product or service. Use S4 below for component suppliers and aftersale services)</t>
  </si>
  <si>
    <t>&lt;40% apply bioslurry to their crops as fertiliser. Bioslurry-compost is not commercialised</t>
  </si>
  <si>
    <t>None or very few initial suppliers (specialised service or components providers, e.g. lamps, spare parts, components)</t>
  </si>
  <si>
    <t>Introduced by donors/ NGOs as pilots without business or distribution models defined. No business partnerships.</t>
  </si>
  <si>
    <t>Low inventory turnover ratio. Products move off shelf very slowly.</t>
  </si>
  <si>
    <t>Two-step supply chain: Supplier (producer-distributor or importer-distributor) to customers</t>
  </si>
  <si>
    <t>None or very few initial suppliers (specialised service or components providers, e.g. raw materials, spare parts, 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</si>
</sst>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3" x14ac:knownFonts="1">
    <font>
      <sz val="11"/>
      <color theme="1"/>
      <name val="Calibri"/>
      <family val="2"/>
      <scheme val="minor"/>
    </font>
    <font>
      <sz val="12"/>
      <color theme="1"/>
      <name val="Calibri"/>
      <family val="2"/>
      <scheme val="minor"/>
    </font>
    <font>
      <sz val="11"/>
      <color rgb="FFFF0000"/>
      <name val="Calibri"/>
      <family val="2"/>
      <scheme val="minor"/>
    </font>
    <font>
      <sz val="10"/>
      <color theme="1"/>
      <name val="Calibri"/>
      <family val="2"/>
      <scheme val="minor"/>
    </font>
    <font>
      <sz val="10"/>
      <color theme="1"/>
      <name val="Calibri Light"/>
      <family val="2"/>
      <scheme val="major"/>
    </font>
    <font>
      <b/>
      <sz val="14"/>
      <color theme="1"/>
      <name val="Calibri"/>
      <family val="2"/>
      <scheme val="minor"/>
    </font>
    <font>
      <sz val="10"/>
      <name val="Wingdings 3"/>
      <family val="1"/>
      <charset val="2"/>
    </font>
    <font>
      <b/>
      <sz val="10"/>
      <color theme="1"/>
      <name val="Calibri"/>
      <family val="2"/>
      <scheme val="minor"/>
    </font>
    <font>
      <b/>
      <sz val="10"/>
      <color rgb="FF000000"/>
      <name val="Calibri"/>
      <family val="2"/>
      <scheme val="minor"/>
    </font>
    <font>
      <sz val="10"/>
      <color rgb="FF000000"/>
      <name val="Calibri"/>
      <family val="2"/>
      <scheme val="minor"/>
    </font>
    <font>
      <b/>
      <sz val="10"/>
      <color theme="0"/>
      <name val="Calibri"/>
      <family val="1"/>
      <scheme val="minor"/>
    </font>
    <font>
      <sz val="10"/>
      <color theme="1"/>
      <name val="Calibri"/>
      <family val="1"/>
      <scheme val="minor"/>
    </font>
    <font>
      <sz val="10"/>
      <name val="Calibri Light"/>
      <family val="2"/>
      <scheme val="major"/>
    </font>
    <font>
      <sz val="14"/>
      <color theme="1"/>
      <name val="Calibri"/>
      <family val="2"/>
      <scheme val="minor"/>
    </font>
    <font>
      <sz val="11"/>
      <name val="Calibri"/>
      <family val="2"/>
      <scheme val="minor"/>
    </font>
    <font>
      <b/>
      <sz val="20"/>
      <name val="Calibri"/>
      <family val="2"/>
      <scheme val="minor"/>
    </font>
    <font>
      <sz val="11"/>
      <color theme="1"/>
      <name val="Wingdings 3"/>
      <family val="1"/>
      <charset val="2"/>
    </font>
    <font>
      <sz val="10"/>
      <name val="Calibri"/>
      <family val="2"/>
      <scheme val="minor"/>
    </font>
    <font>
      <sz val="11"/>
      <name val="Calibri"/>
      <family val="2"/>
    </font>
    <font>
      <b/>
      <sz val="24"/>
      <color rgb="FF002060"/>
      <name val="Calibri"/>
      <family val="1"/>
      <scheme val="minor"/>
    </font>
    <font>
      <b/>
      <sz val="16"/>
      <color theme="1"/>
      <name val="Calibri"/>
      <family val="1"/>
      <scheme val="minor"/>
    </font>
    <font>
      <b/>
      <sz val="10"/>
      <name val="Calibri"/>
      <family val="2"/>
      <scheme val="minor"/>
    </font>
    <font>
      <b/>
      <sz val="20"/>
      <color rgb="FF002060"/>
      <name val="Calibri"/>
      <family val="2"/>
      <scheme val="minor"/>
    </font>
    <font>
      <sz val="20"/>
      <color theme="1"/>
      <name val="Wingdings 3"/>
      <family val="1"/>
      <charset val="2"/>
    </font>
    <font>
      <b/>
      <sz val="11"/>
      <color theme="1"/>
      <name val="Calibri"/>
      <family val="2"/>
      <scheme val="minor"/>
    </font>
    <font>
      <b/>
      <sz val="11"/>
      <name val="Calibri"/>
      <family val="2"/>
      <scheme val="minor"/>
    </font>
    <font>
      <b/>
      <sz val="12"/>
      <color rgb="FF002060"/>
      <name val="Calibri"/>
      <family val="1"/>
      <scheme val="minor"/>
    </font>
    <font>
      <sz val="10"/>
      <color theme="1"/>
      <name val="Arial"/>
      <family val="2"/>
    </font>
    <font>
      <b/>
      <sz val="20"/>
      <color theme="1"/>
      <name val="Wingdings 3"/>
      <family val="1"/>
      <charset val="2"/>
    </font>
    <font>
      <sz val="20"/>
      <color theme="1"/>
      <name val="Arial"/>
      <family val="2"/>
    </font>
    <font>
      <sz val="14"/>
      <name val="Calibri"/>
      <family val="2"/>
      <scheme val="minor"/>
    </font>
    <font>
      <sz val="11"/>
      <color theme="1"/>
      <name val="Calibri"/>
      <family val="2"/>
      <scheme val="minor"/>
    </font>
    <font>
      <sz val="20"/>
      <color theme="1"/>
      <name val="Calibri"/>
      <family val="2"/>
      <scheme val="minor"/>
    </font>
    <font>
      <b/>
      <sz val="20"/>
      <color theme="1"/>
      <name val="Calibri"/>
      <family val="2"/>
      <scheme val="minor"/>
    </font>
    <font>
      <b/>
      <sz val="14"/>
      <color rgb="FF000000"/>
      <name val="Calibri"/>
      <family val="2"/>
      <scheme val="minor"/>
    </font>
    <font>
      <b/>
      <sz val="20"/>
      <color theme="0"/>
      <name val="Calibri"/>
      <family val="2"/>
      <scheme val="minor"/>
    </font>
    <font>
      <b/>
      <sz val="20"/>
      <color rgb="FF000000"/>
      <name val="Calibri"/>
      <family val="2"/>
      <scheme val="minor"/>
    </font>
    <font>
      <b/>
      <sz val="9"/>
      <color theme="0"/>
      <name val="Calibri"/>
      <family val="1"/>
      <scheme val="minor"/>
    </font>
    <font>
      <sz val="10"/>
      <color rgb="FFFF0000"/>
      <name val="Calibri"/>
      <family val="2"/>
      <scheme val="minor"/>
    </font>
    <font>
      <b/>
      <sz val="10"/>
      <color rgb="FF002060"/>
      <name val="Calibri"/>
      <family val="2"/>
      <scheme val="minor"/>
    </font>
    <font>
      <b/>
      <sz val="24"/>
      <color theme="4"/>
      <name val="Wingdings"/>
      <charset val="2"/>
    </font>
    <font>
      <b/>
      <sz val="10"/>
      <name val="Wingdings 3"/>
      <family val="1"/>
      <charset val="2"/>
    </font>
    <font>
      <b/>
      <sz val="23"/>
      <color rgb="FF002060"/>
      <name val="Calibri"/>
      <family val="1"/>
      <scheme val="minor"/>
    </font>
    <font>
      <b/>
      <sz val="14"/>
      <color theme="0"/>
      <name val="Calibri"/>
      <family val="2"/>
      <scheme val="minor"/>
    </font>
    <font>
      <b/>
      <sz val="18"/>
      <color theme="0"/>
      <name val="Calibri"/>
      <family val="2"/>
      <scheme val="minor"/>
    </font>
    <font>
      <sz val="12"/>
      <color theme="1"/>
      <name val="Calibri Light"/>
      <family val="2"/>
      <scheme val="major"/>
    </font>
    <font>
      <u/>
      <sz val="11"/>
      <color theme="10"/>
      <name val="Calibri"/>
      <family val="2"/>
      <scheme val="minor"/>
    </font>
    <font>
      <b/>
      <sz val="28"/>
      <color rgb="FF000000"/>
      <name val="Calibri"/>
      <family val="2"/>
      <scheme val="minor"/>
    </font>
    <font>
      <b/>
      <u/>
      <sz val="14"/>
      <color theme="10"/>
      <name val="Calibri"/>
      <family val="2"/>
      <scheme val="minor"/>
    </font>
    <font>
      <b/>
      <sz val="28"/>
      <color rgb="FF002060"/>
      <name val="Calibri"/>
      <family val="2"/>
      <scheme val="minor"/>
    </font>
    <font>
      <sz val="10"/>
      <color rgb="FF002060"/>
      <name val="Calibri"/>
      <family val="2"/>
      <scheme val="minor"/>
    </font>
    <font>
      <b/>
      <sz val="28"/>
      <color theme="1"/>
      <name val="Calibri"/>
      <family val="2"/>
      <scheme val="minor"/>
    </font>
    <font>
      <b/>
      <sz val="36"/>
      <color theme="1"/>
      <name val="Calibri"/>
      <family val="2"/>
      <scheme val="minor"/>
    </font>
    <font>
      <b/>
      <sz val="24"/>
      <color theme="0"/>
      <name val="Calibri"/>
      <family val="1"/>
      <scheme val="minor"/>
    </font>
    <font>
      <b/>
      <sz val="10.5"/>
      <color theme="0"/>
      <name val="Calibri"/>
      <family val="2"/>
      <scheme val="minor"/>
    </font>
    <font>
      <b/>
      <sz val="11"/>
      <color theme="0"/>
      <name val="Calibri"/>
      <family val="2"/>
      <scheme val="minor"/>
    </font>
    <font>
      <sz val="11"/>
      <color theme="0"/>
      <name val="Calibri"/>
      <family val="2"/>
      <scheme val="minor"/>
    </font>
    <font>
      <sz val="10"/>
      <color theme="0"/>
      <name val="Arial"/>
      <family val="2"/>
    </font>
    <font>
      <sz val="20"/>
      <color theme="0"/>
      <name val="Arial"/>
      <family val="2"/>
    </font>
    <font>
      <b/>
      <sz val="24"/>
      <color theme="0"/>
      <name val="Calibri"/>
      <family val="2"/>
      <scheme val="minor"/>
    </font>
    <font>
      <b/>
      <sz val="26"/>
      <color theme="0"/>
      <name val="Calibri"/>
      <family val="2"/>
      <scheme val="minor"/>
    </font>
    <font>
      <b/>
      <sz val="12"/>
      <color theme="0"/>
      <name val="Calibri"/>
      <family val="2"/>
      <scheme val="minor"/>
    </font>
    <font>
      <b/>
      <sz val="10"/>
      <color theme="0"/>
      <name val="Calibri"/>
      <family val="2"/>
      <scheme val="minor"/>
    </font>
    <font>
      <b/>
      <sz val="20"/>
      <color theme="0"/>
      <name val="Calibri"/>
      <family val="1"/>
      <scheme val="minor"/>
    </font>
    <font>
      <sz val="11"/>
      <color theme="0"/>
      <name val="Calibri"/>
      <family val="1"/>
      <scheme val="minor"/>
    </font>
    <font>
      <b/>
      <sz val="12"/>
      <color theme="0"/>
      <name val="Wingdings"/>
      <charset val="2"/>
    </font>
    <font>
      <b/>
      <sz val="16"/>
      <color theme="0"/>
      <name val="Calibri"/>
      <family val="2"/>
      <scheme val="minor"/>
    </font>
    <font>
      <b/>
      <sz val="26"/>
      <color theme="0"/>
      <name val="Calibri"/>
      <family val="1"/>
      <scheme val="minor"/>
    </font>
    <font>
      <b/>
      <sz val="55"/>
      <color theme="0"/>
      <name val="Calibri"/>
      <family val="2"/>
      <scheme val="minor"/>
    </font>
    <font>
      <b/>
      <sz val="18"/>
      <color theme="1"/>
      <name val="Calibri"/>
      <family val="2"/>
      <scheme val="minor"/>
    </font>
    <font>
      <sz val="20"/>
      <color theme="0"/>
      <name val="Calibri"/>
      <family val="2"/>
      <scheme val="minor"/>
    </font>
    <font>
      <sz val="14"/>
      <color theme="1" tint="0.14999847407452621"/>
      <name val="Calibri"/>
      <family val="2"/>
      <scheme val="minor"/>
    </font>
    <font>
      <sz val="28"/>
      <color theme="1"/>
      <name val="Wingdings 3"/>
      <family val="1"/>
      <charset val="2"/>
    </font>
    <font>
      <sz val="28"/>
      <color theme="1"/>
      <name val="Calibri"/>
      <family val="2"/>
      <scheme val="minor"/>
    </font>
    <font>
      <sz val="14"/>
      <name val="Calibri Light"/>
      <family val="2"/>
      <scheme val="major"/>
    </font>
    <font>
      <sz val="18"/>
      <color theme="0"/>
      <name val="Calibri"/>
      <family val="1"/>
      <scheme val="minor"/>
    </font>
    <font>
      <b/>
      <sz val="28"/>
      <color theme="0"/>
      <name val="Calibri"/>
      <family val="1"/>
      <scheme val="minor"/>
    </font>
    <font>
      <b/>
      <sz val="28"/>
      <color theme="0"/>
      <name val="Calibri"/>
      <family val="2"/>
      <scheme val="minor"/>
    </font>
    <font>
      <sz val="10"/>
      <color theme="0"/>
      <name val="Calibri"/>
      <family val="2"/>
      <scheme val="minor"/>
    </font>
    <font>
      <b/>
      <sz val="40"/>
      <color theme="0"/>
      <name val="Calibri"/>
      <family val="1"/>
      <scheme val="minor"/>
    </font>
    <font>
      <b/>
      <sz val="24"/>
      <color theme="4"/>
      <name val="Calibri"/>
      <family val="2"/>
      <scheme val="minor"/>
    </font>
    <font>
      <b/>
      <sz val="12"/>
      <color theme="4"/>
      <name val="Wingdings"/>
      <charset val="2"/>
    </font>
    <font>
      <b/>
      <sz val="12"/>
      <color theme="4"/>
      <name val="Calibri"/>
      <family val="2"/>
      <scheme val="minor"/>
    </font>
    <font>
      <b/>
      <sz val="16"/>
      <color theme="1"/>
      <name val="Calibri"/>
      <family val="2"/>
      <scheme val="minor"/>
    </font>
    <font>
      <sz val="8"/>
      <name val="Calibri"/>
      <family val="2"/>
      <scheme val="minor"/>
    </font>
    <font>
      <u/>
      <sz val="10"/>
      <color rgb="FF000000"/>
      <name val="Calibri"/>
      <family val="2"/>
      <scheme val="minor"/>
    </font>
    <font>
      <u/>
      <sz val="10"/>
      <color theme="1"/>
      <name val="Calibri"/>
      <family val="2"/>
      <scheme val="minor"/>
    </font>
    <font>
      <sz val="8"/>
      <color theme="1"/>
      <name val="Calibri"/>
      <family val="2"/>
      <scheme val="minor"/>
    </font>
    <font>
      <b/>
      <sz val="11"/>
      <color theme="3"/>
      <name val="Calibri"/>
      <family val="2"/>
      <scheme val="minor"/>
    </font>
    <font>
      <sz val="24"/>
      <color theme="0"/>
      <name val="Calibri"/>
      <family val="2"/>
      <scheme val="minor"/>
    </font>
    <font>
      <b/>
      <sz val="12"/>
      <color theme="1"/>
      <name val="Calibri Light"/>
      <family val="2"/>
      <scheme val="major"/>
    </font>
    <font>
      <b/>
      <sz val="16"/>
      <color theme="0" tint="-4.9989318521683403E-2"/>
      <name val="Calibri"/>
      <family val="1"/>
      <scheme val="minor"/>
    </font>
    <font>
      <sz val="12"/>
      <color theme="1" tint="0.14999847407452621"/>
      <name val="Calibri"/>
      <family val="2"/>
      <scheme val="minor"/>
    </font>
  </fonts>
  <fills count="35">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tint="-0.34998626667073579"/>
        <bgColor indexed="64"/>
      </patternFill>
    </fill>
    <fill>
      <patternFill patternType="solid">
        <fgColor theme="2"/>
        <bgColor indexed="64"/>
      </patternFill>
    </fill>
    <fill>
      <patternFill patternType="solid">
        <fgColor rgb="FFFF8989"/>
        <bgColor indexed="64"/>
      </patternFill>
    </fill>
    <fill>
      <patternFill patternType="solid">
        <fgColor rgb="FFFFC775"/>
        <bgColor indexed="64"/>
      </patternFill>
    </fill>
    <fill>
      <patternFill patternType="solid">
        <fgColor rgb="FFFFFF89"/>
        <bgColor indexed="64"/>
      </patternFill>
    </fill>
    <fill>
      <patternFill patternType="solid">
        <fgColor rgb="FFC7E6A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7" tint="0.79998168889431442"/>
        <bgColor indexed="64"/>
      </patternFill>
    </fill>
    <fill>
      <patternFill patternType="solid">
        <fgColor theme="6"/>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bgColor indexed="64"/>
      </patternFill>
    </fill>
    <fill>
      <patternFill patternType="solid">
        <fgColor theme="5"/>
        <bgColor indexed="64"/>
      </patternFill>
    </fill>
    <fill>
      <patternFill patternType="solid">
        <fgColor rgb="FFA21942"/>
        <bgColor indexed="64"/>
      </patternFill>
    </fill>
    <fill>
      <patternFill patternType="solid">
        <fgColor rgb="FFD08BA0"/>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ED7D31"/>
        <bgColor indexed="64"/>
      </patternFill>
    </fill>
    <fill>
      <patternFill patternType="solid">
        <fgColor theme="9" tint="0.59999389629810485"/>
        <bgColor indexed="64"/>
      </patternFill>
    </fill>
    <fill>
      <patternFill patternType="darkVertical">
        <fgColor rgb="FFFFFF00"/>
        <bgColor rgb="FFFFC000"/>
      </patternFill>
    </fill>
    <fill>
      <patternFill patternType="darkVertical">
        <fgColor rgb="FF92D050"/>
        <bgColor rgb="FFFFFF00"/>
      </patternFill>
    </fill>
    <fill>
      <patternFill patternType="darkVertical">
        <fgColor rgb="FFFF0000"/>
        <bgColor rgb="FFFF9900"/>
      </patternFill>
    </fill>
    <fill>
      <patternFill patternType="solid">
        <fgColor rgb="FFFF8601"/>
        <bgColor indexed="64"/>
      </patternFill>
    </fill>
    <fill>
      <patternFill patternType="solid">
        <fgColor theme="4" tint="0.39997558519241921"/>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right/>
      <top/>
      <bottom style="thin">
        <color auto="1"/>
      </bottom>
      <diagonal/>
    </border>
    <border>
      <left/>
      <right/>
      <top style="thick">
        <color theme="0"/>
      </top>
      <bottom/>
      <diagonal/>
    </border>
    <border>
      <left style="thick">
        <color theme="0"/>
      </left>
      <right/>
      <top/>
      <bottom style="thin">
        <color indexed="64"/>
      </bottom>
      <diagonal/>
    </border>
    <border>
      <left style="thick">
        <color theme="0"/>
      </left>
      <right style="thick">
        <color theme="0"/>
      </right>
      <top/>
      <bottom/>
      <diagonal/>
    </border>
    <border>
      <left style="thick">
        <color theme="0"/>
      </left>
      <right/>
      <top/>
      <bottom/>
      <diagonal/>
    </border>
    <border>
      <left style="thin">
        <color theme="0"/>
      </left>
      <right style="thin">
        <color theme="0"/>
      </right>
      <top style="thin">
        <color theme="0"/>
      </top>
      <bottom style="thin">
        <color theme="0"/>
      </bottom>
      <diagonal/>
    </border>
    <border>
      <left style="thick">
        <color theme="0"/>
      </left>
      <right style="thick">
        <color theme="0"/>
      </right>
      <top/>
      <bottom style="thick">
        <color theme="0"/>
      </bottom>
      <diagonal/>
    </border>
    <border>
      <left style="thick">
        <color theme="0"/>
      </left>
      <right/>
      <top/>
      <bottom style="thick">
        <color theme="0"/>
      </bottom>
      <diagonal/>
    </border>
    <border>
      <left style="thick">
        <color theme="0"/>
      </left>
      <right/>
      <top style="thick">
        <color theme="0"/>
      </top>
      <bottom/>
      <diagonal/>
    </border>
    <border>
      <left style="thin">
        <color theme="0"/>
      </left>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ck">
        <color theme="0"/>
      </right>
      <top style="thick">
        <color theme="0"/>
      </top>
      <bottom/>
      <diagonal/>
    </border>
    <border>
      <left/>
      <right/>
      <top/>
      <bottom style="thick">
        <color theme="0"/>
      </bottom>
      <diagonal/>
    </border>
    <border>
      <left/>
      <right style="thick">
        <color theme="0"/>
      </right>
      <top/>
      <bottom style="thick">
        <color theme="0"/>
      </bottom>
      <diagonal/>
    </border>
    <border>
      <left style="thin">
        <color theme="0"/>
      </left>
      <right/>
      <top/>
      <bottom/>
      <diagonal/>
    </border>
    <border>
      <left style="thick">
        <color theme="0"/>
      </left>
      <right style="thick">
        <color theme="0"/>
      </right>
      <top style="thick">
        <color theme="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ck">
        <color theme="0"/>
      </right>
      <top/>
      <bottom/>
      <diagonal/>
    </border>
    <border>
      <left/>
      <right style="thin">
        <color theme="0"/>
      </right>
      <top style="thin">
        <color theme="0"/>
      </top>
      <bottom style="thin">
        <color theme="0"/>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style="thin">
        <color theme="0"/>
      </right>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style="thin">
        <color theme="1"/>
      </left>
      <right/>
      <top style="thin">
        <color theme="1"/>
      </top>
      <bottom/>
      <diagonal/>
    </border>
    <border>
      <left style="thin">
        <color theme="0"/>
      </left>
      <right/>
      <top style="thin">
        <color theme="1"/>
      </top>
      <bottom/>
      <diagonal/>
    </border>
    <border>
      <left/>
      <right/>
      <top style="thin">
        <color theme="1"/>
      </top>
      <bottom style="medium">
        <color indexed="64"/>
      </bottom>
      <diagonal/>
    </border>
    <border>
      <left/>
      <right style="thin">
        <color indexed="64"/>
      </right>
      <top style="medium">
        <color indexed="64"/>
      </top>
      <bottom style="thin">
        <color indexed="64"/>
      </bottom>
      <diagonal/>
    </border>
    <border>
      <left style="thick">
        <color theme="0" tint="-4.9989318521683403E-2"/>
      </left>
      <right/>
      <top/>
      <bottom/>
      <diagonal/>
    </border>
    <border>
      <left style="thick">
        <color theme="3"/>
      </left>
      <right/>
      <top/>
      <bottom/>
      <diagonal/>
    </border>
    <border>
      <left/>
      <right style="thick">
        <color theme="3"/>
      </right>
      <top style="thick">
        <color theme="3"/>
      </top>
      <bottom/>
      <diagonal/>
    </border>
    <border>
      <left/>
      <right style="thick">
        <color theme="3"/>
      </right>
      <top/>
      <bottom/>
      <diagonal/>
    </border>
    <border>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style="thick">
        <color theme="3"/>
      </left>
      <right/>
      <top/>
      <bottom style="thick">
        <color theme="3"/>
      </bottom>
      <diagonal/>
    </border>
    <border>
      <left/>
      <right/>
      <top/>
      <bottom style="thick">
        <color theme="3"/>
      </bottom>
      <diagonal/>
    </border>
    <border>
      <left style="thin">
        <color theme="3"/>
      </left>
      <right/>
      <top/>
      <bottom/>
      <diagonal/>
    </border>
    <border>
      <left style="thick">
        <color theme="0"/>
      </left>
      <right style="thick">
        <color theme="3"/>
      </right>
      <top style="thick">
        <color theme="0"/>
      </top>
      <bottom style="thick">
        <color theme="0"/>
      </bottom>
      <diagonal/>
    </border>
    <border>
      <left style="thick">
        <color theme="0"/>
      </left>
      <right style="thick">
        <color theme="3"/>
      </right>
      <top/>
      <bottom/>
      <diagonal/>
    </border>
    <border>
      <left style="thin">
        <color theme="0"/>
      </left>
      <right/>
      <top style="thin">
        <color theme="0"/>
      </top>
      <bottom style="medium">
        <color theme="0"/>
      </bottom>
      <diagonal/>
    </border>
    <border>
      <left/>
      <right/>
      <top style="thin">
        <color theme="0"/>
      </top>
      <bottom style="medium">
        <color theme="0"/>
      </bottom>
      <diagonal/>
    </border>
    <border>
      <left/>
      <right style="thin">
        <color theme="0"/>
      </right>
      <top style="thin">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thick">
        <color theme="0"/>
      </right>
      <top style="thick">
        <color theme="0"/>
      </top>
      <bottom/>
      <diagonal/>
    </border>
    <border>
      <left/>
      <right style="medium">
        <color theme="0"/>
      </right>
      <top/>
      <bottom/>
      <diagonal/>
    </border>
    <border>
      <left style="medium">
        <color theme="0"/>
      </left>
      <right style="thick">
        <color theme="0"/>
      </right>
      <top/>
      <bottom/>
      <diagonal/>
    </border>
    <border>
      <left style="medium">
        <color theme="0"/>
      </left>
      <right style="thick">
        <color theme="0"/>
      </right>
      <top/>
      <bottom style="medium">
        <color theme="0"/>
      </bottom>
      <diagonal/>
    </border>
    <border>
      <left style="thick">
        <color theme="0"/>
      </left>
      <right/>
      <top/>
      <bottom style="medium">
        <color theme="0"/>
      </bottom>
      <diagonal/>
    </border>
    <border>
      <left/>
      <right style="thick">
        <color theme="0"/>
      </right>
      <top style="thick">
        <color theme="0"/>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top style="thin">
        <color theme="0"/>
      </top>
      <bottom style="thin">
        <color theme="0"/>
      </bottom>
      <diagonal/>
    </border>
    <border>
      <left style="thin">
        <color theme="0"/>
      </left>
      <right style="thin">
        <color theme="0"/>
      </right>
      <top/>
      <bottom/>
      <diagonal/>
    </border>
    <border>
      <left style="thin">
        <color indexed="64"/>
      </left>
      <right style="thick">
        <color theme="0"/>
      </right>
      <top style="thin">
        <color indexed="64"/>
      </top>
      <bottom style="thick">
        <color theme="0"/>
      </bottom>
      <diagonal/>
    </border>
    <border>
      <left style="thick">
        <color theme="0"/>
      </left>
      <right style="thin">
        <color indexed="64"/>
      </right>
      <top style="thin">
        <color indexed="64"/>
      </top>
      <bottom style="thick">
        <color theme="0"/>
      </bottom>
      <diagonal/>
    </border>
    <border>
      <left style="thin">
        <color indexed="64"/>
      </left>
      <right style="thick">
        <color theme="0"/>
      </right>
      <top style="thick">
        <color theme="0"/>
      </top>
      <bottom style="thick">
        <color theme="0"/>
      </bottom>
      <diagonal/>
    </border>
    <border>
      <left style="thick">
        <color theme="0"/>
      </left>
      <right style="thin">
        <color indexed="64"/>
      </right>
      <top style="thick">
        <color theme="0"/>
      </top>
      <bottom style="thick">
        <color theme="0"/>
      </bottom>
      <diagonal/>
    </border>
    <border>
      <left style="thin">
        <color indexed="64"/>
      </left>
      <right style="thick">
        <color theme="0"/>
      </right>
      <top style="thick">
        <color theme="0"/>
      </top>
      <bottom style="thin">
        <color indexed="64"/>
      </bottom>
      <diagonal/>
    </border>
    <border>
      <left style="thick">
        <color theme="0"/>
      </left>
      <right style="thin">
        <color indexed="64"/>
      </right>
      <top style="thick">
        <color theme="0"/>
      </top>
      <bottom style="thin">
        <color indexed="64"/>
      </bottom>
      <diagonal/>
    </border>
    <border>
      <left style="thin">
        <color indexed="64"/>
      </left>
      <right style="thick">
        <color theme="0"/>
      </right>
      <top style="thin">
        <color indexed="64"/>
      </top>
      <bottom/>
      <diagonal/>
    </border>
    <border>
      <left style="thin">
        <color indexed="64"/>
      </left>
      <right style="thick">
        <color theme="0"/>
      </right>
      <top style="thick">
        <color theme="0"/>
      </top>
      <bottom/>
      <diagonal/>
    </border>
    <border>
      <left style="thin">
        <color indexed="64"/>
      </left>
      <right style="thick">
        <color theme="0"/>
      </right>
      <top style="thin">
        <color indexed="64"/>
      </top>
      <bottom style="thin">
        <color indexed="64"/>
      </bottom>
      <diagonal/>
    </border>
    <border>
      <left style="thick">
        <color theme="0"/>
      </left>
      <right style="thin">
        <color indexed="64"/>
      </right>
      <top style="thin">
        <color indexed="64"/>
      </top>
      <bottom style="thin">
        <color indexed="64"/>
      </bottom>
      <diagonal/>
    </border>
    <border>
      <left style="thin">
        <color indexed="64"/>
      </left>
      <right style="thick">
        <color theme="0"/>
      </right>
      <top/>
      <bottom style="thick">
        <color theme="0"/>
      </bottom>
      <diagonal/>
    </border>
    <border>
      <left style="thick">
        <color theme="0"/>
      </left>
      <right style="thin">
        <color indexed="64"/>
      </right>
      <top/>
      <bottom style="thick">
        <color theme="0"/>
      </bottom>
      <diagonal/>
    </border>
    <border>
      <left style="thin">
        <color indexed="64"/>
      </left>
      <right/>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medium">
        <color theme="0"/>
      </left>
      <right/>
      <top/>
      <bottom/>
      <diagonal/>
    </border>
    <border>
      <left style="thin">
        <color indexed="64"/>
      </left>
      <right style="thick">
        <color theme="0"/>
      </right>
      <top style="thick">
        <color theme="0"/>
      </top>
      <bottom style="medium">
        <color indexed="64"/>
      </bottom>
      <diagonal/>
    </border>
    <border>
      <left style="thick">
        <color theme="0"/>
      </left>
      <right style="thin">
        <color indexed="64"/>
      </right>
      <top style="thick">
        <color theme="0"/>
      </top>
      <bottom style="medium">
        <color indexed="64"/>
      </bottom>
      <diagonal/>
    </border>
    <border>
      <left style="thin">
        <color indexed="64"/>
      </left>
      <right style="medium">
        <color theme="0"/>
      </right>
      <top style="medium">
        <color theme="0"/>
      </top>
      <bottom style="medium">
        <color indexed="64"/>
      </bottom>
      <diagonal/>
    </border>
    <border>
      <left style="thin">
        <color indexed="64"/>
      </left>
      <right style="thick">
        <color theme="0"/>
      </right>
      <top/>
      <bottom style="thin">
        <color indexed="64"/>
      </bottom>
      <diagonal/>
    </border>
    <border>
      <left style="thick">
        <color theme="0"/>
      </left>
      <right style="thin">
        <color indexed="64"/>
      </right>
      <top/>
      <bottom style="thin">
        <color indexed="64"/>
      </bottom>
      <diagonal/>
    </border>
  </borders>
  <cellStyleXfs count="6">
    <xf numFmtId="0" fontId="0" fillId="0" borderId="0"/>
    <xf numFmtId="0" fontId="18" fillId="0" borderId="0"/>
    <xf numFmtId="0" fontId="27" fillId="0" borderId="0"/>
    <xf numFmtId="0" fontId="31" fillId="0" borderId="0"/>
    <xf numFmtId="9" fontId="31" fillId="0" borderId="0" applyFont="0" applyFill="0" applyBorder="0" applyAlignment="0" applyProtection="0"/>
    <xf numFmtId="0" fontId="46" fillId="0" borderId="0" applyNumberFormat="0" applyFill="0" applyBorder="0" applyAlignment="0" applyProtection="0"/>
  </cellStyleXfs>
  <cellXfs count="699">
    <xf numFmtId="0" fontId="0" fillId="0" borderId="0" xfId="0"/>
    <xf numFmtId="0" fontId="8" fillId="8" borderId="2" xfId="0" applyFont="1" applyFill="1" applyBorder="1" applyAlignment="1">
      <alignment horizontal="left" vertical="center" wrapText="1"/>
    </xf>
    <xf numFmtId="0" fontId="0" fillId="0" borderId="1" xfId="0" applyBorder="1"/>
    <xf numFmtId="0" fontId="3" fillId="2" borderId="1" xfId="0" applyFont="1" applyFill="1" applyBorder="1"/>
    <xf numFmtId="0" fontId="3" fillId="3" borderId="1" xfId="0" applyFont="1" applyFill="1" applyBorder="1"/>
    <xf numFmtId="0" fontId="3" fillId="4" borderId="1" xfId="0" applyFont="1" applyFill="1" applyBorder="1"/>
    <xf numFmtId="0" fontId="3" fillId="5" borderId="1" xfId="0" applyFont="1" applyFill="1" applyBorder="1"/>
    <xf numFmtId="0" fontId="3" fillId="0" borderId="1" xfId="0" applyFont="1" applyBorder="1"/>
    <xf numFmtId="0" fontId="3" fillId="6" borderId="1" xfId="0" applyFont="1" applyFill="1" applyBorder="1"/>
    <xf numFmtId="0" fontId="0" fillId="13" borderId="0" xfId="0" applyFill="1"/>
    <xf numFmtId="0" fontId="14" fillId="0" borderId="0" xfId="0" applyFont="1" applyAlignment="1">
      <alignment textRotation="90"/>
    </xf>
    <xf numFmtId="0" fontId="16" fillId="0" borderId="0" xfId="0" applyFont="1"/>
    <xf numFmtId="0" fontId="14" fillId="0" borderId="0" xfId="0" applyFont="1"/>
    <xf numFmtId="0" fontId="6" fillId="0" borderId="1" xfId="0" applyFont="1" applyBorder="1" applyAlignment="1">
      <alignment horizontal="center" vertical="center"/>
    </xf>
    <xf numFmtId="0" fontId="13" fillId="0" borderId="0" xfId="0" applyFont="1"/>
    <xf numFmtId="0" fontId="16" fillId="0" borderId="0" xfId="0" applyFont="1" applyAlignment="1">
      <alignment horizontal="center" vertical="center"/>
    </xf>
    <xf numFmtId="0" fontId="0" fillId="0" borderId="0" xfId="0" applyAlignment="1">
      <alignment horizontal="center" vertical="center"/>
    </xf>
    <xf numFmtId="0" fontId="3" fillId="8" borderId="13" xfId="0" applyFont="1" applyFill="1" applyBorder="1" applyAlignment="1">
      <alignment vertical="center" wrapText="1"/>
    </xf>
    <xf numFmtId="0" fontId="0" fillId="9" borderId="11" xfId="0" applyFill="1" applyBorder="1" applyAlignment="1">
      <alignment horizontal="center" vertical="center"/>
    </xf>
    <xf numFmtId="0" fontId="0" fillId="11" borderId="11" xfId="0" applyFill="1" applyBorder="1" applyAlignment="1">
      <alignment horizontal="center" vertical="center"/>
    </xf>
    <xf numFmtId="0" fontId="21" fillId="7" borderId="11" xfId="0" applyFont="1" applyFill="1" applyBorder="1" applyAlignment="1">
      <alignment horizontal="center" vertical="center" wrapText="1"/>
    </xf>
    <xf numFmtId="0" fontId="0" fillId="14" borderId="11" xfId="0" applyFill="1" applyBorder="1" applyAlignment="1">
      <alignment horizontal="center" vertical="center"/>
    </xf>
    <xf numFmtId="0" fontId="21" fillId="8" borderId="11" xfId="0" applyFont="1" applyFill="1" applyBorder="1" applyAlignment="1">
      <alignment horizontal="center" vertical="center" wrapText="1"/>
    </xf>
    <xf numFmtId="0" fontId="19" fillId="13" borderId="0" xfId="0" applyFont="1" applyFill="1" applyAlignment="1">
      <alignment vertical="center"/>
    </xf>
    <xf numFmtId="0" fontId="25" fillId="14" borderId="1" xfId="0" applyFont="1" applyFill="1" applyBorder="1" applyAlignment="1">
      <alignment horizontal="center" vertical="center" wrapText="1"/>
    </xf>
    <xf numFmtId="0" fontId="0" fillId="0" borderId="1" xfId="0" applyBorder="1" applyAlignment="1">
      <alignment horizontal="center" vertical="center"/>
    </xf>
    <xf numFmtId="0" fontId="14" fillId="0" borderId="1" xfId="0" applyFont="1" applyBorder="1" applyAlignment="1">
      <alignment horizontal="center" vertical="center"/>
    </xf>
    <xf numFmtId="0" fontId="10" fillId="7" borderId="2" xfId="2" applyFont="1" applyFill="1" applyBorder="1" applyAlignment="1">
      <alignment horizontal="center" vertical="center" wrapText="1"/>
    </xf>
    <xf numFmtId="0" fontId="23" fillId="11" borderId="2" xfId="0" applyFont="1" applyFill="1" applyBorder="1" applyAlignment="1">
      <alignment horizontal="center" vertical="center"/>
    </xf>
    <xf numFmtId="2" fontId="0" fillId="0" borderId="0" xfId="0" applyNumberFormat="1"/>
    <xf numFmtId="0" fontId="30" fillId="0" borderId="0" xfId="0" applyFont="1"/>
    <xf numFmtId="0" fontId="0" fillId="0" borderId="19" xfId="0" applyBorder="1"/>
    <xf numFmtId="0" fontId="3" fillId="0" borderId="0" xfId="3" applyFont="1"/>
    <xf numFmtId="0" fontId="3" fillId="15" borderId="2" xfId="3" applyFont="1" applyFill="1" applyBorder="1" applyAlignment="1">
      <alignment horizontal="left" vertical="center" wrapText="1"/>
    </xf>
    <xf numFmtId="0" fontId="34" fillId="2" borderId="2" xfId="3" applyFont="1" applyFill="1" applyBorder="1" applyAlignment="1">
      <alignment horizontal="center" vertical="center" wrapText="1"/>
    </xf>
    <xf numFmtId="0" fontId="34" fillId="3" borderId="2" xfId="3" applyFont="1" applyFill="1" applyBorder="1" applyAlignment="1">
      <alignment horizontal="center" vertical="center" wrapText="1"/>
    </xf>
    <xf numFmtId="0" fontId="34" fillId="4" borderId="2" xfId="3" applyFont="1" applyFill="1" applyBorder="1" applyAlignment="1">
      <alignment horizontal="center" vertical="center" wrapText="1"/>
    </xf>
    <xf numFmtId="0" fontId="34" fillId="5" borderId="2" xfId="3" applyFont="1" applyFill="1" applyBorder="1" applyAlignment="1">
      <alignment horizontal="center" vertical="center" wrapText="1"/>
    </xf>
    <xf numFmtId="0" fontId="13" fillId="0" borderId="0" xfId="3" applyFont="1" applyAlignment="1">
      <alignment horizontal="center" vertical="center"/>
    </xf>
    <xf numFmtId="0" fontId="3" fillId="8" borderId="2" xfId="3" applyFont="1" applyFill="1" applyBorder="1" applyAlignment="1">
      <alignment vertical="center" wrapText="1"/>
    </xf>
    <xf numFmtId="0" fontId="3" fillId="9" borderId="2" xfId="3" applyFont="1" applyFill="1" applyBorder="1" applyAlignment="1">
      <alignment horizontal="left" vertical="center" wrapText="1"/>
    </xf>
    <xf numFmtId="0" fontId="3" fillId="10" borderId="2" xfId="3" applyFont="1" applyFill="1" applyBorder="1" applyAlignment="1">
      <alignment horizontal="left" vertical="center" wrapText="1"/>
    </xf>
    <xf numFmtId="0" fontId="3" fillId="11" borderId="2" xfId="3" applyFont="1" applyFill="1" applyBorder="1" applyAlignment="1">
      <alignment horizontal="left" vertical="center" wrapText="1"/>
    </xf>
    <xf numFmtId="0" fontId="3" fillId="12" borderId="2" xfId="3" applyFont="1" applyFill="1" applyBorder="1" applyAlignment="1">
      <alignment horizontal="left" vertical="center" wrapText="1"/>
    </xf>
    <xf numFmtId="49" fontId="3" fillId="0" borderId="32" xfId="3" applyNumberFormat="1" applyFont="1" applyBorder="1" applyAlignment="1">
      <alignment vertical="center" wrapText="1"/>
    </xf>
    <xf numFmtId="0" fontId="31" fillId="0" borderId="1" xfId="3" applyBorder="1"/>
    <xf numFmtId="0" fontId="23" fillId="0" borderId="31" xfId="3" applyFont="1" applyBorder="1" applyAlignment="1">
      <alignment horizontal="center" vertical="center"/>
    </xf>
    <xf numFmtId="0" fontId="3" fillId="0" borderId="32" xfId="3" applyFont="1" applyBorder="1" applyAlignment="1">
      <alignment vertical="center" wrapText="1"/>
    </xf>
    <xf numFmtId="0" fontId="9" fillId="8" borderId="2" xfId="3" applyFont="1" applyFill="1" applyBorder="1" applyAlignment="1">
      <alignment vertical="center" wrapText="1"/>
    </xf>
    <xf numFmtId="0" fontId="8" fillId="8" borderId="2" xfId="3" applyFont="1" applyFill="1" applyBorder="1" applyAlignment="1">
      <alignment horizontal="left" vertical="center" wrapText="1"/>
    </xf>
    <xf numFmtId="0" fontId="34" fillId="7" borderId="2" xfId="3" applyFont="1" applyFill="1" applyBorder="1" applyAlignment="1">
      <alignment horizontal="center" vertical="center" wrapText="1"/>
    </xf>
    <xf numFmtId="0" fontId="32" fillId="0" borderId="0" xfId="3" applyFont="1" applyAlignment="1">
      <alignment horizontal="left" vertical="center"/>
    </xf>
    <xf numFmtId="0" fontId="3" fillId="0" borderId="0" xfId="3" applyFont="1" applyAlignment="1">
      <alignment horizontal="left"/>
    </xf>
    <xf numFmtId="0" fontId="3" fillId="0" borderId="0" xfId="0" applyFont="1"/>
    <xf numFmtId="0" fontId="5" fillId="7" borderId="11" xfId="0" applyFont="1" applyFill="1" applyBorder="1" applyAlignment="1">
      <alignment vertical="center" wrapText="1"/>
    </xf>
    <xf numFmtId="0" fontId="5" fillId="7" borderId="14" xfId="3" applyFont="1" applyFill="1" applyBorder="1" applyAlignment="1">
      <alignment horizontal="center" vertical="center" wrapText="1"/>
    </xf>
    <xf numFmtId="0" fontId="38" fillId="0" borderId="0" xfId="3" applyFont="1"/>
    <xf numFmtId="0" fontId="17" fillId="8" borderId="2" xfId="3" applyFont="1" applyFill="1" applyBorder="1" applyAlignment="1">
      <alignment vertical="center" wrapText="1"/>
    </xf>
    <xf numFmtId="0" fontId="17" fillId="0" borderId="0" xfId="3" applyFont="1"/>
    <xf numFmtId="0" fontId="5" fillId="7" borderId="2" xfId="3" applyFont="1" applyFill="1" applyBorder="1" applyAlignment="1">
      <alignment horizontal="center" vertical="center" wrapText="1"/>
    </xf>
    <xf numFmtId="0" fontId="5" fillId="8" borderId="2" xfId="3" applyFont="1" applyFill="1" applyBorder="1" applyAlignment="1">
      <alignment horizontal="center" vertical="center"/>
    </xf>
    <xf numFmtId="0" fontId="3" fillId="15" borderId="2" xfId="3" applyFont="1" applyFill="1" applyBorder="1" applyAlignment="1">
      <alignment horizontal="center" vertical="center" wrapText="1"/>
    </xf>
    <xf numFmtId="0" fontId="5" fillId="8" borderId="2" xfId="3" applyFont="1" applyFill="1" applyBorder="1" applyAlignment="1">
      <alignment horizontal="center" vertical="center" wrapText="1"/>
    </xf>
    <xf numFmtId="9" fontId="0" fillId="0" borderId="0" xfId="4" applyFont="1" applyFill="1"/>
    <xf numFmtId="9" fontId="0" fillId="0" borderId="0" xfId="0" applyNumberFormat="1"/>
    <xf numFmtId="0" fontId="14" fillId="3" borderId="1" xfId="0" applyFont="1" applyFill="1" applyBorder="1"/>
    <xf numFmtId="0" fontId="14" fillId="4" borderId="1" xfId="0" applyFont="1" applyFill="1" applyBorder="1"/>
    <xf numFmtId="0" fontId="14" fillId="5" borderId="1" xfId="0" applyFont="1" applyFill="1" applyBorder="1"/>
    <xf numFmtId="0" fontId="0" fillId="0" borderId="0" xfId="0" applyAlignment="1">
      <alignment wrapText="1"/>
    </xf>
    <xf numFmtId="0" fontId="24" fillId="14" borderId="15" xfId="0" applyFont="1" applyFill="1" applyBorder="1" applyAlignment="1">
      <alignment horizontal="center" vertical="center"/>
    </xf>
    <xf numFmtId="0" fontId="6" fillId="0" borderId="0" xfId="0" applyFont="1" applyAlignment="1">
      <alignment horizontal="center" vertical="center"/>
    </xf>
    <xf numFmtId="0" fontId="23" fillId="11" borderId="5" xfId="0" applyFont="1" applyFill="1" applyBorder="1" applyAlignment="1">
      <alignment horizontal="center" vertical="center"/>
    </xf>
    <xf numFmtId="0" fontId="23" fillId="0" borderId="33" xfId="3" applyFont="1" applyBorder="1" applyAlignment="1">
      <alignment horizontal="center" vertical="center"/>
    </xf>
    <xf numFmtId="0" fontId="41" fillId="0" borderId="0" xfId="0" applyFont="1" applyAlignment="1">
      <alignment horizontal="center" vertical="center"/>
    </xf>
    <xf numFmtId="0" fontId="21" fillId="0" borderId="39" xfId="0" applyFont="1" applyBorder="1" applyAlignment="1">
      <alignment horizontal="center" vertical="center" wrapText="1"/>
    </xf>
    <xf numFmtId="0" fontId="24" fillId="0" borderId="0" xfId="0" applyFont="1" applyAlignment="1">
      <alignment horizontal="center" vertical="center"/>
    </xf>
    <xf numFmtId="0" fontId="0" fillId="0" borderId="21" xfId="0" applyBorder="1" applyAlignment="1">
      <alignment horizontal="right"/>
    </xf>
    <xf numFmtId="9" fontId="0" fillId="0" borderId="23" xfId="0" applyNumberFormat="1" applyBorder="1"/>
    <xf numFmtId="0" fontId="24" fillId="14" borderId="16" xfId="0" applyFont="1" applyFill="1" applyBorder="1" applyAlignment="1">
      <alignment horizontal="center" vertical="center"/>
    </xf>
    <xf numFmtId="0" fontId="24" fillId="14" borderId="17" xfId="0" applyFont="1" applyFill="1" applyBorder="1" applyAlignment="1">
      <alignment horizontal="center" vertical="center"/>
    </xf>
    <xf numFmtId="0" fontId="24" fillId="14" borderId="18" xfId="0" applyFont="1" applyFill="1" applyBorder="1" applyAlignment="1">
      <alignment horizontal="center" vertical="center"/>
    </xf>
    <xf numFmtId="0" fontId="0" fillId="0" borderId="19" xfId="4" applyNumberFormat="1" applyFont="1" applyFill="1" applyBorder="1"/>
    <xf numFmtId="0" fontId="0" fillId="0" borderId="0" xfId="4" applyNumberFormat="1" applyFont="1" applyFill="1" applyBorder="1"/>
    <xf numFmtId="0" fontId="0" fillId="0" borderId="20" xfId="4" applyNumberFormat="1" applyFont="1" applyFill="1" applyBorder="1"/>
    <xf numFmtId="9" fontId="0" fillId="0" borderId="21" xfId="4" applyFont="1" applyFill="1" applyBorder="1"/>
    <xf numFmtId="9" fontId="0" fillId="0" borderId="22" xfId="4" applyFont="1" applyFill="1" applyBorder="1"/>
    <xf numFmtId="9" fontId="0" fillId="0" borderId="0" xfId="4" applyFont="1" applyFill="1" applyBorder="1"/>
    <xf numFmtId="9" fontId="0" fillId="0" borderId="23" xfId="4" applyFont="1" applyFill="1" applyBorder="1"/>
    <xf numFmtId="0" fontId="0" fillId="0" borderId="0" xfId="0" applyAlignment="1">
      <alignment horizontal="center"/>
    </xf>
    <xf numFmtId="0" fontId="0" fillId="16" borderId="42" xfId="0" applyFill="1" applyBorder="1"/>
    <xf numFmtId="0" fontId="21" fillId="7" borderId="37" xfId="0" applyFont="1" applyFill="1" applyBorder="1" applyAlignment="1">
      <alignment horizontal="center" vertical="center" wrapText="1"/>
    </xf>
    <xf numFmtId="0" fontId="21" fillId="7" borderId="43" xfId="0" applyFont="1" applyFill="1" applyBorder="1" applyAlignment="1">
      <alignment horizontal="center" vertical="center" wrapText="1"/>
    </xf>
    <xf numFmtId="0" fontId="3" fillId="2" borderId="33" xfId="0" applyFont="1" applyFill="1" applyBorder="1"/>
    <xf numFmtId="0" fontId="3" fillId="3" borderId="33" xfId="0" applyFont="1" applyFill="1" applyBorder="1"/>
    <xf numFmtId="0" fontId="3" fillId="4" borderId="33" xfId="0" applyFont="1" applyFill="1" applyBorder="1"/>
    <xf numFmtId="0" fontId="3" fillId="5" borderId="33" xfId="0" applyFont="1" applyFill="1" applyBorder="1"/>
    <xf numFmtId="0" fontId="0" fillId="0" borderId="33" xfId="0" applyBorder="1"/>
    <xf numFmtId="0" fontId="0" fillId="0" borderId="22" xfId="0" applyBorder="1"/>
    <xf numFmtId="0" fontId="14" fillId="0" borderId="44" xfId="0" applyFont="1" applyBorder="1"/>
    <xf numFmtId="0" fontId="0" fillId="13" borderId="1" xfId="0" applyFill="1" applyBorder="1"/>
    <xf numFmtId="0" fontId="0" fillId="0" borderId="1" xfId="0" applyBorder="1" applyAlignment="1">
      <alignment wrapText="1"/>
    </xf>
    <xf numFmtId="0" fontId="14" fillId="0" borderId="1" xfId="0" applyFont="1" applyBorder="1"/>
    <xf numFmtId="0" fontId="0" fillId="16" borderId="1" xfId="0" applyFill="1" applyBorder="1"/>
    <xf numFmtId="0" fontId="14" fillId="0" borderId="17" xfId="0" applyFont="1" applyBorder="1" applyAlignment="1">
      <alignment wrapText="1"/>
    </xf>
    <xf numFmtId="0" fontId="14" fillId="0" borderId="22" xfId="0" applyFont="1" applyBorder="1"/>
    <xf numFmtId="0" fontId="14" fillId="0" borderId="16" xfId="0" applyFont="1" applyBorder="1"/>
    <xf numFmtId="0" fontId="14" fillId="0" borderId="0" xfId="0" applyFont="1" applyAlignment="1">
      <alignment wrapText="1"/>
    </xf>
    <xf numFmtId="0" fontId="14" fillId="0" borderId="19" xfId="0" applyFont="1" applyBorder="1"/>
    <xf numFmtId="0" fontId="14" fillId="0" borderId="22" xfId="0" applyFont="1" applyBorder="1" applyAlignment="1">
      <alignment wrapText="1"/>
    </xf>
    <xf numFmtId="0" fontId="14" fillId="0" borderId="21" xfId="0" applyFont="1" applyBorder="1"/>
    <xf numFmtId="0" fontId="14" fillId="0" borderId="17" xfId="0" applyFont="1" applyBorder="1"/>
    <xf numFmtId="0" fontId="23" fillId="11" borderId="12" xfId="0" applyFont="1" applyFill="1" applyBorder="1" applyAlignment="1">
      <alignment horizontal="center" vertical="center"/>
    </xf>
    <xf numFmtId="0" fontId="22" fillId="13" borderId="0" xfId="0" applyFont="1" applyFill="1" applyAlignment="1">
      <alignment vertical="center"/>
    </xf>
    <xf numFmtId="0" fontId="19" fillId="0" borderId="0" xfId="0" applyFont="1" applyAlignment="1">
      <alignment vertical="center"/>
    </xf>
    <xf numFmtId="0" fontId="22" fillId="13" borderId="0" xfId="0" applyFont="1" applyFill="1"/>
    <xf numFmtId="0" fontId="28" fillId="13" borderId="0" xfId="0" applyFont="1" applyFill="1"/>
    <xf numFmtId="0" fontId="5" fillId="7" borderId="11" xfId="0" applyFont="1" applyFill="1" applyBorder="1" applyAlignment="1">
      <alignment horizontal="center" vertical="center" wrapText="1"/>
    </xf>
    <xf numFmtId="0" fontId="8" fillId="8" borderId="13" xfId="0" applyFont="1" applyFill="1" applyBorder="1" applyAlignment="1">
      <alignment horizontal="left" vertical="center" wrapText="1"/>
    </xf>
    <xf numFmtId="0" fontId="7" fillId="8" borderId="13" xfId="0" applyFont="1" applyFill="1" applyBorder="1" applyAlignment="1">
      <alignment horizontal="left" vertical="center" wrapText="1"/>
    </xf>
    <xf numFmtId="0" fontId="8" fillId="8" borderId="3" xfId="0" applyFont="1" applyFill="1" applyBorder="1" applyAlignment="1">
      <alignment horizontal="left" vertical="center" wrapText="1"/>
    </xf>
    <xf numFmtId="0" fontId="8" fillId="8" borderId="3" xfId="0" applyFont="1" applyFill="1" applyBorder="1" applyAlignment="1">
      <alignment vertical="center" wrapText="1"/>
    </xf>
    <xf numFmtId="0" fontId="8" fillId="8" borderId="14" xfId="0" applyFont="1" applyFill="1" applyBorder="1" applyAlignment="1">
      <alignment horizontal="left" vertical="center" wrapText="1"/>
    </xf>
    <xf numFmtId="0" fontId="8" fillId="8" borderId="7" xfId="0" applyFont="1" applyFill="1" applyBorder="1" applyAlignment="1">
      <alignment horizontal="left" vertical="center" wrapText="1"/>
    </xf>
    <xf numFmtId="0" fontId="25" fillId="19" borderId="0" xfId="0" applyFont="1" applyFill="1" applyAlignment="1">
      <alignment horizontal="center" vertical="center"/>
    </xf>
    <xf numFmtId="0" fontId="21" fillId="14" borderId="11" xfId="0" applyFont="1" applyFill="1" applyBorder="1" applyAlignment="1">
      <alignment horizontal="center" vertical="center" wrapText="1"/>
    </xf>
    <xf numFmtId="0" fontId="21" fillId="8" borderId="1" xfId="0" applyFont="1" applyFill="1" applyBorder="1" applyAlignment="1">
      <alignment horizontal="center" vertical="center" wrapText="1"/>
    </xf>
    <xf numFmtId="0" fontId="3" fillId="0" borderId="1" xfId="3" applyFont="1" applyBorder="1"/>
    <xf numFmtId="0" fontId="14" fillId="2" borderId="45" xfId="0" applyFont="1" applyFill="1" applyBorder="1"/>
    <xf numFmtId="0" fontId="14" fillId="3" borderId="32" xfId="0" applyFont="1" applyFill="1" applyBorder="1"/>
    <xf numFmtId="0" fontId="14" fillId="4" borderId="32" xfId="0" applyFont="1" applyFill="1" applyBorder="1"/>
    <xf numFmtId="0" fontId="14" fillId="5" borderId="32" xfId="0" applyFont="1" applyFill="1" applyBorder="1"/>
    <xf numFmtId="0" fontId="14" fillId="0" borderId="32" xfId="0" applyFont="1" applyBorder="1"/>
    <xf numFmtId="0" fontId="45" fillId="8" borderId="3" xfId="2" applyFont="1" applyFill="1" applyBorder="1" applyAlignment="1">
      <alignment vertical="center" wrapText="1"/>
    </xf>
    <xf numFmtId="0" fontId="7" fillId="8" borderId="1" xfId="3" applyFont="1" applyFill="1" applyBorder="1" applyAlignment="1">
      <alignment horizontal="center" vertical="center"/>
    </xf>
    <xf numFmtId="0" fontId="50" fillId="0" borderId="1" xfId="0" applyFont="1" applyBorder="1"/>
    <xf numFmtId="0" fontId="8" fillId="8" borderId="30" xfId="3" applyFont="1" applyFill="1" applyBorder="1" applyAlignment="1">
      <alignment horizontal="left" vertical="center" wrapText="1"/>
    </xf>
    <xf numFmtId="0" fontId="7" fillId="8" borderId="2" xfId="3" applyFont="1" applyFill="1" applyBorder="1" applyAlignment="1">
      <alignment horizontal="left" vertical="center" wrapText="1"/>
    </xf>
    <xf numFmtId="0" fontId="10" fillId="7" borderId="3" xfId="2" applyFont="1" applyFill="1" applyBorder="1" applyAlignment="1">
      <alignment horizontal="center" vertical="center" wrapText="1"/>
    </xf>
    <xf numFmtId="0" fontId="10" fillId="7" borderId="5" xfId="2" applyFont="1" applyFill="1" applyBorder="1" applyAlignment="1">
      <alignment horizontal="center" vertical="center" wrapText="1"/>
    </xf>
    <xf numFmtId="0" fontId="0" fillId="21" borderId="0" xfId="0" applyFill="1"/>
    <xf numFmtId="0" fontId="27" fillId="22" borderId="0" xfId="2" applyFill="1"/>
    <xf numFmtId="0" fontId="57" fillId="22" borderId="0" xfId="2" applyFont="1" applyFill="1"/>
    <xf numFmtId="0" fontId="60" fillId="22" borderId="0" xfId="0" applyFont="1" applyFill="1" applyAlignment="1">
      <alignment horizontal="left" vertical="center"/>
    </xf>
    <xf numFmtId="0" fontId="35" fillId="22" borderId="0" xfId="0" applyFont="1" applyFill="1" applyAlignment="1">
      <alignment vertical="center"/>
    </xf>
    <xf numFmtId="0" fontId="61" fillId="22" borderId="0" xfId="0" applyFont="1" applyFill="1" applyAlignment="1">
      <alignment vertical="center"/>
    </xf>
    <xf numFmtId="9" fontId="62" fillId="22" borderId="0" xfId="0" applyNumberFormat="1" applyFont="1" applyFill="1" applyAlignment="1">
      <alignment horizontal="left" vertical="center"/>
    </xf>
    <xf numFmtId="0" fontId="61" fillId="22" borderId="0" xfId="0" applyFont="1" applyFill="1" applyAlignment="1">
      <alignment horizontal="left" vertical="center"/>
    </xf>
    <xf numFmtId="9" fontId="62" fillId="22" borderId="0" xfId="0" applyNumberFormat="1" applyFont="1" applyFill="1" applyAlignment="1">
      <alignment vertical="center"/>
    </xf>
    <xf numFmtId="0" fontId="0" fillId="22" borderId="0" xfId="0" applyFill="1"/>
    <xf numFmtId="0" fontId="11" fillId="22" borderId="9" xfId="2" applyFont="1" applyFill="1" applyBorder="1"/>
    <xf numFmtId="0" fontId="11" fillId="22" borderId="10" xfId="2" applyFont="1" applyFill="1" applyBorder="1"/>
    <xf numFmtId="0" fontId="11" fillId="22" borderId="0" xfId="2" applyFont="1" applyFill="1"/>
    <xf numFmtId="0" fontId="4" fillId="22" borderId="0" xfId="2" applyFont="1" applyFill="1"/>
    <xf numFmtId="0" fontId="29" fillId="22" borderId="0" xfId="2" applyFont="1" applyFill="1"/>
    <xf numFmtId="0" fontId="27" fillId="22" borderId="7" xfId="2" applyFill="1" applyBorder="1" applyAlignment="1">
      <alignment horizontal="center"/>
    </xf>
    <xf numFmtId="0" fontId="4" fillId="22" borderId="0" xfId="2" applyFont="1" applyFill="1" applyAlignment="1">
      <alignment horizontal="center" vertical="center" wrapText="1"/>
    </xf>
    <xf numFmtId="0" fontId="4" fillId="22" borderId="7" xfId="2" applyFont="1" applyFill="1" applyBorder="1" applyAlignment="1">
      <alignment horizontal="center" vertical="center" wrapText="1"/>
    </xf>
    <xf numFmtId="0" fontId="64" fillId="22" borderId="0" xfId="0" applyFont="1" applyFill="1"/>
    <xf numFmtId="0" fontId="56" fillId="22" borderId="0" xfId="0" applyFont="1" applyFill="1"/>
    <xf numFmtId="0" fontId="66" fillId="22" borderId="0" xfId="0" applyFont="1" applyFill="1"/>
    <xf numFmtId="0" fontId="45" fillId="8" borderId="13" xfId="2" applyFont="1" applyFill="1" applyBorder="1" applyAlignment="1">
      <alignment vertical="center" wrapText="1"/>
    </xf>
    <xf numFmtId="0" fontId="0" fillId="0" borderId="49" xfId="0" applyBorder="1"/>
    <xf numFmtId="1" fontId="62" fillId="19" borderId="0" xfId="0" applyNumberFormat="1" applyFont="1" applyFill="1" applyAlignment="1">
      <alignment horizontal="center" vertical="center" wrapText="1"/>
    </xf>
    <xf numFmtId="1" fontId="62" fillId="24" borderId="0" xfId="0" applyNumberFormat="1" applyFont="1" applyFill="1" applyAlignment="1">
      <alignment horizontal="center" vertical="center" wrapText="1"/>
    </xf>
    <xf numFmtId="1" fontId="62" fillId="24" borderId="24" xfId="0" applyNumberFormat="1" applyFont="1" applyFill="1" applyBorder="1" applyAlignment="1">
      <alignment horizontal="center" vertical="center" wrapText="1"/>
    </xf>
    <xf numFmtId="1" fontId="62" fillId="24" borderId="38" xfId="0" applyNumberFormat="1" applyFont="1" applyFill="1" applyBorder="1" applyAlignment="1">
      <alignment horizontal="center" vertical="center" wrapText="1"/>
    </xf>
    <xf numFmtId="0" fontId="62" fillId="23" borderId="24" xfId="0" applyFont="1" applyFill="1" applyBorder="1" applyAlignment="1">
      <alignment horizontal="center" vertical="center" wrapText="1"/>
    </xf>
    <xf numFmtId="1" fontId="62" fillId="23" borderId="0" xfId="0" applyNumberFormat="1" applyFont="1" applyFill="1" applyAlignment="1">
      <alignment horizontal="center" vertical="center" wrapText="1"/>
    </xf>
    <xf numFmtId="0" fontId="2" fillId="3" borderId="17" xfId="0" applyFont="1" applyFill="1" applyBorder="1" applyAlignment="1">
      <alignment wrapText="1"/>
    </xf>
    <xf numFmtId="0" fontId="2" fillId="3" borderId="0" xfId="0" applyFont="1" applyFill="1" applyAlignment="1">
      <alignment wrapText="1"/>
    </xf>
    <xf numFmtId="0" fontId="57" fillId="22" borderId="51" xfId="2" applyFont="1" applyFill="1" applyBorder="1"/>
    <xf numFmtId="0" fontId="35" fillId="22" borderId="52" xfId="2" applyFont="1" applyFill="1" applyBorder="1" applyAlignment="1">
      <alignment vertical="center"/>
    </xf>
    <xf numFmtId="0" fontId="57" fillId="22" borderId="52" xfId="2" applyFont="1" applyFill="1" applyBorder="1"/>
    <xf numFmtId="0" fontId="58" fillId="22" borderId="52" xfId="2" applyFont="1" applyFill="1" applyBorder="1"/>
    <xf numFmtId="0" fontId="56" fillId="22" borderId="52" xfId="0" applyFont="1" applyFill="1" applyBorder="1"/>
    <xf numFmtId="0" fontId="56" fillId="22" borderId="48" xfId="0" applyFont="1" applyFill="1" applyBorder="1"/>
    <xf numFmtId="0" fontId="57" fillId="22" borderId="47" xfId="2" applyFont="1" applyFill="1" applyBorder="1"/>
    <xf numFmtId="0" fontId="56" fillId="22" borderId="49" xfId="0" applyFont="1" applyFill="1" applyBorder="1"/>
    <xf numFmtId="0" fontId="27" fillId="22" borderId="47" xfId="2" applyFill="1" applyBorder="1"/>
    <xf numFmtId="0" fontId="0" fillId="22" borderId="49" xfId="0" applyFill="1" applyBorder="1"/>
    <xf numFmtId="0" fontId="0" fillId="22" borderId="47" xfId="0" applyFill="1" applyBorder="1"/>
    <xf numFmtId="0" fontId="0" fillId="22" borderId="53" xfId="0" applyFill="1" applyBorder="1"/>
    <xf numFmtId="0" fontId="0" fillId="22" borderId="54" xfId="0" applyFill="1" applyBorder="1"/>
    <xf numFmtId="0" fontId="0" fillId="22" borderId="50" xfId="0" applyFill="1" applyBorder="1"/>
    <xf numFmtId="0" fontId="0" fillId="22" borderId="51" xfId="0" applyFill="1" applyBorder="1"/>
    <xf numFmtId="0" fontId="53" fillId="22" borderId="52" xfId="0" applyFont="1" applyFill="1" applyBorder="1" applyAlignment="1">
      <alignment vertical="center"/>
    </xf>
    <xf numFmtId="0" fontId="53" fillId="22" borderId="48" xfId="0" applyFont="1" applyFill="1" applyBorder="1" applyAlignment="1">
      <alignment vertical="center"/>
    </xf>
    <xf numFmtId="0" fontId="53" fillId="22" borderId="49" xfId="0" applyFont="1" applyFill="1" applyBorder="1" applyAlignment="1">
      <alignment horizontal="center"/>
    </xf>
    <xf numFmtId="0" fontId="39" fillId="22" borderId="49" xfId="0" applyFont="1" applyFill="1" applyBorder="1" applyAlignment="1">
      <alignment horizontal="left" vertical="center"/>
    </xf>
    <xf numFmtId="0" fontId="39" fillId="22" borderId="50" xfId="0" applyFont="1" applyFill="1" applyBorder="1" applyAlignment="1">
      <alignment horizontal="left" vertical="center"/>
    </xf>
    <xf numFmtId="0" fontId="0" fillId="13" borderId="54" xfId="0" applyFill="1" applyBorder="1"/>
    <xf numFmtId="0" fontId="28" fillId="13" borderId="54" xfId="0" applyFont="1" applyFill="1" applyBorder="1"/>
    <xf numFmtId="0" fontId="37" fillId="7" borderId="12" xfId="2" applyFont="1" applyFill="1" applyBorder="1" applyAlignment="1">
      <alignment horizontal="center" vertical="center" wrapText="1"/>
    </xf>
    <xf numFmtId="0" fontId="37" fillId="7" borderId="2" xfId="2" applyFont="1" applyFill="1" applyBorder="1" applyAlignment="1">
      <alignment horizontal="center" vertical="center" wrapText="1"/>
    </xf>
    <xf numFmtId="0" fontId="0" fillId="13" borderId="7" xfId="0" applyFill="1" applyBorder="1"/>
    <xf numFmtId="0" fontId="0" fillId="22" borderId="48" xfId="0" applyFill="1" applyBorder="1"/>
    <xf numFmtId="49" fontId="4" fillId="22" borderId="49" xfId="0" applyNumberFormat="1" applyFont="1" applyFill="1" applyBorder="1" applyAlignment="1">
      <alignment horizontal="left" vertical="center" wrapText="1" indent="1"/>
    </xf>
    <xf numFmtId="0" fontId="28" fillId="0" borderId="0" xfId="0" applyFont="1"/>
    <xf numFmtId="0" fontId="54" fillId="17" borderId="2" xfId="3" applyFont="1" applyFill="1" applyBorder="1" applyAlignment="1">
      <alignment horizontal="center" vertical="center" wrapText="1"/>
    </xf>
    <xf numFmtId="0" fontId="54" fillId="23" borderId="2" xfId="3" applyFont="1" applyFill="1" applyBorder="1" applyAlignment="1">
      <alignment horizontal="center" vertical="center" wrapText="1"/>
    </xf>
    <xf numFmtId="0" fontId="54" fillId="24" borderId="2" xfId="3" applyFont="1" applyFill="1" applyBorder="1" applyAlignment="1">
      <alignment horizontal="center" vertical="center" wrapText="1"/>
    </xf>
    <xf numFmtId="0" fontId="61" fillId="22" borderId="7" xfId="0" applyFont="1" applyFill="1" applyBorder="1" applyAlignment="1">
      <alignment horizontal="center" vertical="center"/>
    </xf>
    <xf numFmtId="0" fontId="61" fillId="22" borderId="0" xfId="0" applyFont="1" applyFill="1" applyAlignment="1">
      <alignment horizontal="center" vertical="center"/>
    </xf>
    <xf numFmtId="0" fontId="61" fillId="22" borderId="54" xfId="0" applyFont="1" applyFill="1" applyBorder="1" applyAlignment="1">
      <alignment horizontal="center" vertical="center"/>
    </xf>
    <xf numFmtId="0" fontId="56" fillId="22" borderId="54" xfId="0" applyFont="1" applyFill="1" applyBorder="1" applyAlignment="1">
      <alignment horizontal="center"/>
    </xf>
    <xf numFmtId="0" fontId="61" fillId="22" borderId="49" xfId="0" applyFont="1" applyFill="1" applyBorder="1" applyAlignment="1">
      <alignment horizontal="center" vertical="center"/>
    </xf>
    <xf numFmtId="0" fontId="61" fillId="22" borderId="50" xfId="0" applyFont="1" applyFill="1" applyBorder="1" applyAlignment="1">
      <alignment horizontal="center" vertical="center"/>
    </xf>
    <xf numFmtId="0" fontId="54" fillId="6" borderId="56" xfId="3" applyFont="1" applyFill="1" applyBorder="1" applyAlignment="1">
      <alignment horizontal="center" vertical="center" wrapText="1"/>
    </xf>
    <xf numFmtId="0" fontId="2" fillId="4" borderId="0" xfId="0" applyFont="1" applyFill="1"/>
    <xf numFmtId="0" fontId="55" fillId="22" borderId="0" xfId="0" applyFont="1" applyFill="1" applyAlignment="1">
      <alignment horizontal="right" vertical="center"/>
    </xf>
    <xf numFmtId="0" fontId="55" fillId="22" borderId="54" xfId="0" applyFont="1" applyFill="1" applyBorder="1" applyAlignment="1">
      <alignment horizontal="right" vertical="center"/>
    </xf>
    <xf numFmtId="0" fontId="42" fillId="13" borderId="0" xfId="0" applyFont="1" applyFill="1" applyAlignment="1">
      <alignment vertical="center"/>
    </xf>
    <xf numFmtId="0" fontId="0" fillId="22" borderId="4" xfId="0" applyFill="1" applyBorder="1"/>
    <xf numFmtId="0" fontId="44" fillId="22" borderId="2" xfId="3" applyFont="1" applyFill="1" applyBorder="1" applyAlignment="1">
      <alignment horizontal="center" vertical="center" wrapText="1"/>
    </xf>
    <xf numFmtId="0" fontId="0" fillId="0" borderId="57" xfId="0" applyBorder="1"/>
    <xf numFmtId="0" fontId="69" fillId="22" borderId="2" xfId="3" applyFont="1" applyFill="1" applyBorder="1" applyAlignment="1">
      <alignment horizontal="center" vertical="center" wrapText="1"/>
    </xf>
    <xf numFmtId="0" fontId="70" fillId="22" borderId="0" xfId="0" applyFont="1" applyFill="1" applyAlignment="1">
      <alignment horizontal="center" vertical="center"/>
    </xf>
    <xf numFmtId="0" fontId="0" fillId="22" borderId="55" xfId="0" applyFill="1" applyBorder="1"/>
    <xf numFmtId="0" fontId="43" fillId="22" borderId="2" xfId="3" applyFont="1" applyFill="1" applyBorder="1" applyAlignment="1">
      <alignment horizontal="center" vertical="center" wrapText="1"/>
    </xf>
    <xf numFmtId="0" fontId="30" fillId="13" borderId="2" xfId="2" applyFont="1" applyFill="1" applyBorder="1" applyAlignment="1">
      <alignment horizontal="left" vertical="center" wrapText="1"/>
    </xf>
    <xf numFmtId="0" fontId="13" fillId="22" borderId="0" xfId="0" applyFont="1" applyFill="1" applyAlignment="1">
      <alignment horizontal="left"/>
    </xf>
    <xf numFmtId="0" fontId="13" fillId="22" borderId="0" xfId="0" applyFont="1" applyFill="1"/>
    <xf numFmtId="0" fontId="63" fillId="22" borderId="0" xfId="0" applyFont="1" applyFill="1"/>
    <xf numFmtId="0" fontId="53" fillId="22" borderId="52" xfId="0" applyFont="1" applyFill="1" applyBorder="1" applyAlignment="1">
      <alignment vertical="center" wrapText="1"/>
    </xf>
    <xf numFmtId="0" fontId="72" fillId="11" borderId="12" xfId="0" applyFont="1" applyFill="1" applyBorder="1" applyAlignment="1">
      <alignment horizontal="center" vertical="center"/>
    </xf>
    <xf numFmtId="0" fontId="72" fillId="11" borderId="2" xfId="0" applyFont="1" applyFill="1" applyBorder="1" applyAlignment="1">
      <alignment horizontal="center" vertical="center"/>
    </xf>
    <xf numFmtId="0" fontId="72" fillId="11" borderId="30" xfId="0" applyFont="1" applyFill="1" applyBorder="1" applyAlignment="1">
      <alignment horizontal="center" vertical="center"/>
    </xf>
    <xf numFmtId="0" fontId="73" fillId="22" borderId="0" xfId="0" applyFont="1" applyFill="1"/>
    <xf numFmtId="0" fontId="60" fillId="22" borderId="2" xfId="3" applyFont="1" applyFill="1" applyBorder="1" applyAlignment="1">
      <alignment horizontal="center" vertical="center" wrapText="1"/>
    </xf>
    <xf numFmtId="0" fontId="77" fillId="22" borderId="2" xfId="3" applyFont="1" applyFill="1" applyBorder="1" applyAlignment="1">
      <alignment horizontal="center" vertical="center" wrapText="1"/>
    </xf>
    <xf numFmtId="0" fontId="64" fillId="6" borderId="0" xfId="0" applyFont="1" applyFill="1"/>
    <xf numFmtId="0" fontId="56" fillId="6" borderId="0" xfId="0" applyFont="1" applyFill="1"/>
    <xf numFmtId="0" fontId="66" fillId="6" borderId="0" xfId="0" applyFont="1" applyFill="1"/>
    <xf numFmtId="0" fontId="55" fillId="22" borderId="7" xfId="0" applyFont="1" applyFill="1" applyBorder="1" applyAlignment="1">
      <alignment horizontal="right" vertical="center"/>
    </xf>
    <xf numFmtId="0" fontId="71" fillId="13" borderId="2" xfId="2" applyFont="1" applyFill="1" applyBorder="1" applyAlignment="1">
      <alignment horizontal="left" vertical="center" wrapText="1"/>
    </xf>
    <xf numFmtId="0" fontId="71" fillId="22" borderId="4" xfId="0" applyFont="1" applyFill="1" applyBorder="1"/>
    <xf numFmtId="0" fontId="71" fillId="22" borderId="4" xfId="0" applyFont="1" applyFill="1" applyBorder="1" applyAlignment="1">
      <alignment horizontal="left"/>
    </xf>
    <xf numFmtId="0" fontId="71" fillId="22" borderId="0" xfId="0" applyFont="1" applyFill="1"/>
    <xf numFmtId="0" fontId="71" fillId="22" borderId="0" xfId="0" applyFont="1" applyFill="1" applyAlignment="1">
      <alignment horizontal="left"/>
    </xf>
    <xf numFmtId="0" fontId="0" fillId="6" borderId="0" xfId="0" applyFill="1"/>
    <xf numFmtId="0" fontId="3" fillId="20" borderId="2" xfId="3" applyFont="1" applyFill="1" applyBorder="1" applyAlignment="1">
      <alignment horizontal="center" vertical="center" wrapText="1"/>
    </xf>
    <xf numFmtId="0" fontId="56" fillId="0" borderId="0" xfId="0" applyFont="1"/>
    <xf numFmtId="0" fontId="3" fillId="0" borderId="2" xfId="3" applyFont="1" applyBorder="1" applyAlignment="1">
      <alignment horizontal="center" vertical="center" wrapText="1"/>
    </xf>
    <xf numFmtId="0" fontId="3" fillId="21" borderId="2" xfId="3" applyFont="1" applyFill="1" applyBorder="1" applyAlignment="1">
      <alignment horizontal="left" vertical="center" wrapText="1" indent="1"/>
    </xf>
    <xf numFmtId="0" fontId="3" fillId="26" borderId="0" xfId="3" applyFont="1" applyFill="1"/>
    <xf numFmtId="0" fontId="80" fillId="26" borderId="0" xfId="3" applyFont="1" applyFill="1"/>
    <xf numFmtId="0" fontId="0" fillId="26" borderId="0" xfId="0" applyFill="1"/>
    <xf numFmtId="0" fontId="32" fillId="26" borderId="0" xfId="3" applyFont="1" applyFill="1" applyAlignment="1">
      <alignment horizontal="left" vertical="center"/>
    </xf>
    <xf numFmtId="0" fontId="80" fillId="6" borderId="2" xfId="3" applyFont="1" applyFill="1" applyBorder="1" applyAlignment="1">
      <alignment horizontal="center"/>
    </xf>
    <xf numFmtId="0" fontId="81" fillId="0" borderId="0" xfId="3" applyFont="1"/>
    <xf numFmtId="0" fontId="52" fillId="26" borderId="0" xfId="3" applyFont="1" applyFill="1" applyAlignment="1">
      <alignment vertical="center" wrapText="1"/>
    </xf>
    <xf numFmtId="0" fontId="13" fillId="26" borderId="0" xfId="3" applyFont="1" applyFill="1" applyAlignment="1">
      <alignment horizontal="center" vertical="center"/>
    </xf>
    <xf numFmtId="0" fontId="33" fillId="26" borderId="0" xfId="3" applyFont="1" applyFill="1" applyAlignment="1">
      <alignment vertical="center"/>
    </xf>
    <xf numFmtId="0" fontId="34" fillId="26" borderId="0" xfId="3" applyFont="1" applyFill="1" applyAlignment="1">
      <alignment horizontal="center" vertical="center" wrapText="1"/>
    </xf>
    <xf numFmtId="0" fontId="3" fillId="26" borderId="0" xfId="3" applyFont="1" applyFill="1" applyAlignment="1">
      <alignment horizontal="left"/>
    </xf>
    <xf numFmtId="0" fontId="34" fillId="26" borderId="0" xfId="3" applyFont="1" applyFill="1" applyAlignment="1">
      <alignment vertical="center" wrapText="1"/>
    </xf>
    <xf numFmtId="0" fontId="36" fillId="26" borderId="0" xfId="3" applyFont="1" applyFill="1" applyAlignment="1">
      <alignment horizontal="left" vertical="center" textRotation="90" wrapText="1"/>
    </xf>
    <xf numFmtId="0" fontId="36" fillId="26" borderId="10" xfId="3" applyFont="1" applyFill="1" applyBorder="1" applyAlignment="1">
      <alignment vertical="center" textRotation="90" wrapText="1"/>
    </xf>
    <xf numFmtId="0" fontId="3" fillId="15" borderId="2" xfId="3" applyFont="1" applyFill="1" applyBorder="1" applyAlignment="1">
      <alignment vertical="center" wrapText="1"/>
    </xf>
    <xf numFmtId="0" fontId="17" fillId="20" borderId="2" xfId="3" applyFont="1" applyFill="1" applyBorder="1" applyAlignment="1">
      <alignment vertical="center" wrapText="1"/>
    </xf>
    <xf numFmtId="0" fontId="3" fillId="20" borderId="2" xfId="3" applyFont="1" applyFill="1" applyBorder="1" applyAlignment="1">
      <alignment vertical="center" wrapText="1"/>
    </xf>
    <xf numFmtId="0" fontId="8" fillId="8" borderId="2" xfId="3" applyFont="1" applyFill="1" applyBorder="1" applyAlignment="1">
      <alignment horizontal="left" vertical="center" wrapText="1" indent="1"/>
    </xf>
    <xf numFmtId="0" fontId="9" fillId="8" borderId="2" xfId="3" applyFont="1" applyFill="1" applyBorder="1" applyAlignment="1">
      <alignment horizontal="left" vertical="center" wrapText="1" indent="1"/>
    </xf>
    <xf numFmtId="0" fontId="3" fillId="9" borderId="2" xfId="3" applyFont="1" applyFill="1" applyBorder="1" applyAlignment="1">
      <alignment horizontal="left" vertical="center" wrapText="1" indent="1"/>
    </xf>
    <xf numFmtId="0" fontId="3" fillId="10" borderId="2" xfId="3" applyFont="1" applyFill="1" applyBorder="1" applyAlignment="1">
      <alignment horizontal="left" vertical="center" wrapText="1" indent="1"/>
    </xf>
    <xf numFmtId="0" fontId="3" fillId="11" borderId="2" xfId="3" applyFont="1" applyFill="1" applyBorder="1" applyAlignment="1">
      <alignment horizontal="left" vertical="center" wrapText="1" indent="1"/>
    </xf>
    <xf numFmtId="0" fontId="3" fillId="12" borderId="2" xfId="3" applyFont="1" applyFill="1" applyBorder="1" applyAlignment="1">
      <alignment horizontal="left" vertical="center" wrapText="1" indent="1"/>
    </xf>
    <xf numFmtId="0" fontId="80" fillId="6" borderId="2" xfId="3" applyFont="1" applyFill="1" applyBorder="1" applyAlignment="1">
      <alignment horizontal="center" vertical="center"/>
    </xf>
    <xf numFmtId="0" fontId="13" fillId="8" borderId="28" xfId="3" applyFont="1" applyFill="1" applyBorder="1" applyAlignment="1">
      <alignment horizontal="center" vertical="center"/>
    </xf>
    <xf numFmtId="0" fontId="3" fillId="8" borderId="2" xfId="3" applyFont="1" applyFill="1" applyBorder="1" applyAlignment="1">
      <alignment horizontal="left" vertical="center" wrapText="1" indent="1"/>
    </xf>
    <xf numFmtId="0" fontId="38" fillId="26" borderId="0" xfId="3" applyFont="1" applyFill="1"/>
    <xf numFmtId="0" fontId="17" fillId="26" borderId="0" xfId="3" applyFont="1" applyFill="1"/>
    <xf numFmtId="0" fontId="8" fillId="26" borderId="0" xfId="3" applyFont="1" applyFill="1" applyAlignment="1">
      <alignment horizontal="left" vertical="center" wrapText="1"/>
    </xf>
    <xf numFmtId="0" fontId="9" fillId="26" borderId="0" xfId="3" applyFont="1" applyFill="1" applyAlignment="1">
      <alignment vertical="center" wrapText="1"/>
    </xf>
    <xf numFmtId="0" fontId="7" fillId="26" borderId="0" xfId="3" applyFont="1" applyFill="1" applyAlignment="1">
      <alignment horizontal="left" vertical="center" wrapText="1"/>
    </xf>
    <xf numFmtId="0" fontId="3" fillId="0" borderId="27" xfId="3" applyFont="1" applyBorder="1" applyAlignment="1">
      <alignment horizontal="center" vertical="center"/>
    </xf>
    <xf numFmtId="0" fontId="3" fillId="20" borderId="2" xfId="3" applyFont="1" applyFill="1" applyBorder="1" applyAlignment="1">
      <alignment horizontal="center" vertical="center"/>
    </xf>
    <xf numFmtId="0" fontId="5" fillId="7" borderId="30" xfId="3" applyFont="1" applyFill="1" applyBorder="1" applyAlignment="1">
      <alignment horizontal="center" vertical="center" wrapText="1"/>
    </xf>
    <xf numFmtId="0" fontId="0" fillId="0" borderId="0" xfId="0" applyAlignment="1">
      <alignment horizontal="left" vertical="center"/>
    </xf>
    <xf numFmtId="0" fontId="0" fillId="0" borderId="34"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20" borderId="2" xfId="0" applyFill="1" applyBorder="1" applyAlignment="1">
      <alignment horizontal="left" vertical="center"/>
    </xf>
    <xf numFmtId="0" fontId="3" fillId="0" borderId="13" xfId="3" applyFont="1" applyBorder="1" applyAlignment="1">
      <alignment horizontal="center" vertical="center" wrapText="1"/>
    </xf>
    <xf numFmtId="0" fontId="3" fillId="0" borderId="27" xfId="3" applyFont="1" applyBorder="1" applyAlignment="1">
      <alignment horizontal="center" vertical="center" wrapText="1"/>
    </xf>
    <xf numFmtId="0" fontId="52" fillId="8" borderId="27" xfId="3" applyFont="1" applyFill="1" applyBorder="1" applyAlignment="1">
      <alignment vertical="center"/>
    </xf>
    <xf numFmtId="0" fontId="5" fillId="8" borderId="0" xfId="0" applyFont="1" applyFill="1"/>
    <xf numFmtId="0" fontId="5" fillId="8" borderId="0" xfId="3" applyFont="1" applyFill="1"/>
    <xf numFmtId="0" fontId="80" fillId="26" borderId="0" xfId="3" applyFont="1" applyFill="1" applyAlignment="1">
      <alignment vertical="center"/>
    </xf>
    <xf numFmtId="0" fontId="52" fillId="26" borderId="0" xfId="3" applyFont="1" applyFill="1" applyAlignment="1">
      <alignment vertical="center"/>
    </xf>
    <xf numFmtId="0" fontId="80" fillId="0" borderId="0" xfId="3" applyFont="1"/>
    <xf numFmtId="0" fontId="23" fillId="8" borderId="12" xfId="0" applyFont="1" applyFill="1" applyBorder="1" applyAlignment="1">
      <alignment horizontal="center" vertical="center"/>
    </xf>
    <xf numFmtId="0" fontId="3" fillId="26" borderId="4" xfId="3" applyFont="1" applyFill="1" applyBorder="1"/>
    <xf numFmtId="0" fontId="81" fillId="8" borderId="27" xfId="3" applyFont="1" applyFill="1" applyBorder="1"/>
    <xf numFmtId="0" fontId="54" fillId="28" borderId="2" xfId="3" applyFont="1" applyFill="1" applyBorder="1" applyAlignment="1">
      <alignment horizontal="center" vertical="center" wrapText="1"/>
    </xf>
    <xf numFmtId="0" fontId="54" fillId="25" borderId="2" xfId="3" applyFont="1" applyFill="1" applyBorder="1" applyAlignment="1">
      <alignment horizontal="center" vertical="center" wrapText="1"/>
    </xf>
    <xf numFmtId="0" fontId="0" fillId="0" borderId="63" xfId="0" applyBorder="1" applyAlignment="1">
      <alignment horizontal="left" vertical="center"/>
    </xf>
    <xf numFmtId="0" fontId="3" fillId="8" borderId="67" xfId="3" applyFont="1" applyFill="1" applyBorder="1" applyAlignment="1">
      <alignment vertical="center" wrapText="1"/>
    </xf>
    <xf numFmtId="0" fontId="0" fillId="0" borderId="68" xfId="0" applyBorder="1" applyAlignment="1">
      <alignment horizontal="left" vertical="center"/>
    </xf>
    <xf numFmtId="0" fontId="0" fillId="0" borderId="69" xfId="0" applyBorder="1" applyAlignment="1">
      <alignment horizontal="left" vertical="center"/>
    </xf>
    <xf numFmtId="0" fontId="9" fillId="8" borderId="67" xfId="3" applyFont="1" applyFill="1" applyBorder="1" applyAlignment="1">
      <alignment vertical="center" wrapText="1"/>
    </xf>
    <xf numFmtId="0" fontId="7" fillId="0" borderId="0" xfId="3" applyFont="1"/>
    <xf numFmtId="0" fontId="8" fillId="27" borderId="2" xfId="3" applyFont="1" applyFill="1" applyBorder="1" applyAlignment="1">
      <alignment horizontal="left" vertical="center" wrapText="1"/>
    </xf>
    <xf numFmtId="0" fontId="36" fillId="26" borderId="0" xfId="3" applyFont="1" applyFill="1" applyAlignment="1">
      <alignment vertical="center" textRotation="90" wrapText="1"/>
    </xf>
    <xf numFmtId="0" fontId="8" fillId="29" borderId="2" xfId="3" applyFont="1" applyFill="1" applyBorder="1" applyAlignment="1">
      <alignment horizontal="left" vertical="center" wrapText="1"/>
    </xf>
    <xf numFmtId="0" fontId="9" fillId="29" borderId="2" xfId="3" applyFont="1" applyFill="1" applyBorder="1" applyAlignment="1">
      <alignment vertical="center" wrapText="1"/>
    </xf>
    <xf numFmtId="0" fontId="82" fillId="0" borderId="0" xfId="3" applyFont="1"/>
    <xf numFmtId="0" fontId="82" fillId="8" borderId="13" xfId="3" applyFont="1" applyFill="1" applyBorder="1"/>
    <xf numFmtId="0" fontId="1" fillId="0" borderId="0" xfId="3" applyFont="1"/>
    <xf numFmtId="0" fontId="1" fillId="15" borderId="61" xfId="3" applyFont="1" applyFill="1" applyBorder="1" applyAlignment="1">
      <alignment horizontal="center"/>
    </xf>
    <xf numFmtId="0" fontId="3" fillId="20" borderId="2" xfId="3" applyFont="1" applyFill="1" applyBorder="1" applyAlignment="1">
      <alignment horizontal="left" vertical="center" wrapText="1" indent="1"/>
    </xf>
    <xf numFmtId="0" fontId="17" fillId="15" borderId="3" xfId="3" applyFont="1" applyFill="1" applyBorder="1" applyAlignment="1">
      <alignment vertical="center" wrapText="1"/>
    </xf>
    <xf numFmtId="0" fontId="3" fillId="15" borderId="3" xfId="3" applyFont="1" applyFill="1" applyBorder="1" applyAlignment="1">
      <alignment vertical="center" wrapText="1"/>
    </xf>
    <xf numFmtId="0" fontId="5" fillId="8" borderId="30" xfId="3" applyFont="1" applyFill="1" applyBorder="1" applyAlignment="1">
      <alignment horizontal="center" vertical="center" wrapText="1"/>
    </xf>
    <xf numFmtId="0" fontId="3" fillId="20" borderId="30" xfId="3" applyFont="1" applyFill="1" applyBorder="1" applyAlignment="1">
      <alignment horizontal="left" vertical="center" wrapText="1" indent="1"/>
    </xf>
    <xf numFmtId="0" fontId="3" fillId="20" borderId="9" xfId="3" applyFont="1" applyFill="1" applyBorder="1" applyAlignment="1">
      <alignment horizontal="left" vertical="center" wrapText="1" indent="1"/>
    </xf>
    <xf numFmtId="0" fontId="3" fillId="20" borderId="12" xfId="3" applyFont="1" applyFill="1" applyBorder="1" applyAlignment="1">
      <alignment horizontal="left" vertical="center" wrapText="1" indent="1"/>
    </xf>
    <xf numFmtId="0" fontId="5" fillId="18" borderId="70" xfId="3" applyFont="1" applyFill="1" applyBorder="1" applyAlignment="1">
      <alignment horizontal="center"/>
    </xf>
    <xf numFmtId="0" fontId="33" fillId="8" borderId="3" xfId="3" applyFont="1" applyFill="1" applyBorder="1" applyAlignment="1">
      <alignment horizontal="center" vertical="center"/>
    </xf>
    <xf numFmtId="0" fontId="33" fillId="8" borderId="4" xfId="3" applyFont="1" applyFill="1" applyBorder="1" applyAlignment="1">
      <alignment horizontal="center" vertical="center"/>
    </xf>
    <xf numFmtId="0" fontId="33" fillId="8" borderId="5" xfId="3" applyFont="1" applyFill="1" applyBorder="1" applyAlignment="1">
      <alignment horizontal="center" vertical="center"/>
    </xf>
    <xf numFmtId="0" fontId="36" fillId="0" borderId="2" xfId="3" applyFont="1" applyBorder="1" applyAlignment="1">
      <alignment horizontal="left" vertical="center" textRotation="90" wrapText="1"/>
    </xf>
    <xf numFmtId="0" fontId="7" fillId="0" borderId="2" xfId="3" applyFont="1" applyBorder="1" applyAlignment="1">
      <alignment horizontal="left" vertical="center" wrapText="1"/>
    </xf>
    <xf numFmtId="0" fontId="9" fillId="0" borderId="2" xfId="3" applyFont="1" applyBorder="1" applyAlignment="1">
      <alignment vertical="center" wrapText="1"/>
    </xf>
    <xf numFmtId="0" fontId="33" fillId="8" borderId="13" xfId="3" applyFont="1" applyFill="1" applyBorder="1" applyAlignment="1">
      <alignment vertical="center"/>
    </xf>
    <xf numFmtId="0" fontId="33" fillId="8" borderId="27" xfId="3" applyFont="1" applyFill="1" applyBorder="1" applyAlignment="1">
      <alignment vertical="center"/>
    </xf>
    <xf numFmtId="0" fontId="33" fillId="0" borderId="2" xfId="3" applyFont="1" applyBorder="1" applyAlignment="1">
      <alignment horizontal="left" vertical="center"/>
    </xf>
    <xf numFmtId="0" fontId="33" fillId="0" borderId="2" xfId="3" applyFont="1" applyBorder="1" applyAlignment="1">
      <alignment horizontal="center" vertical="center"/>
    </xf>
    <xf numFmtId="0" fontId="33" fillId="8" borderId="7" xfId="3" applyFont="1" applyFill="1" applyBorder="1" applyAlignment="1">
      <alignment horizontal="center" vertical="center"/>
    </xf>
    <xf numFmtId="0" fontId="1" fillId="22" borderId="0" xfId="0" applyFont="1" applyFill="1" applyAlignment="1">
      <alignment vertical="center"/>
    </xf>
    <xf numFmtId="0" fontId="1" fillId="13" borderId="0" xfId="0" applyFont="1" applyFill="1" applyAlignment="1">
      <alignment vertical="center"/>
    </xf>
    <xf numFmtId="0" fontId="0" fillId="30" borderId="1" xfId="0" quotePrefix="1" applyFill="1" applyBorder="1"/>
    <xf numFmtId="0" fontId="0" fillId="31" borderId="1" xfId="0" quotePrefix="1" applyFill="1" applyBorder="1"/>
    <xf numFmtId="0" fontId="21" fillId="8" borderId="15" xfId="0" applyFont="1" applyFill="1" applyBorder="1" applyAlignment="1">
      <alignment horizontal="center" vertical="center" wrapText="1"/>
    </xf>
    <xf numFmtId="0" fontId="3" fillId="15" borderId="2" xfId="3" quotePrefix="1" applyFont="1" applyFill="1" applyBorder="1" applyAlignment="1">
      <alignment horizontal="left" vertical="center" wrapText="1"/>
    </xf>
    <xf numFmtId="0" fontId="21" fillId="0" borderId="29" xfId="0" applyFont="1" applyBorder="1" applyAlignment="1">
      <alignment horizontal="center" vertical="center" wrapText="1"/>
    </xf>
    <xf numFmtId="0" fontId="21" fillId="7" borderId="1" xfId="0" applyFont="1" applyFill="1" applyBorder="1" applyAlignment="1">
      <alignment horizontal="center" vertical="center" wrapText="1"/>
    </xf>
    <xf numFmtId="0" fontId="14" fillId="2" borderId="1" xfId="0" applyFont="1" applyFill="1" applyBorder="1"/>
    <xf numFmtId="0" fontId="0" fillId="0" borderId="31" xfId="0" applyBorder="1"/>
    <xf numFmtId="0" fontId="0" fillId="0" borderId="31" xfId="0" applyBorder="1" applyAlignment="1">
      <alignment wrapText="1"/>
    </xf>
    <xf numFmtId="0" fontId="62" fillId="24" borderId="38" xfId="0" applyFont="1" applyFill="1" applyBorder="1" applyAlignment="1">
      <alignment horizontal="center" vertical="center" wrapText="1"/>
    </xf>
    <xf numFmtId="0" fontId="0" fillId="32" borderId="1" xfId="0" quotePrefix="1" applyFill="1" applyBorder="1"/>
    <xf numFmtId="0" fontId="0" fillId="16" borderId="0" xfId="0" applyFill="1"/>
    <xf numFmtId="0" fontId="21" fillId="0" borderId="0" xfId="0" applyFont="1" applyAlignment="1">
      <alignment horizontal="center" vertical="center" wrapText="1"/>
    </xf>
    <xf numFmtId="0" fontId="21" fillId="7" borderId="72" xfId="0" applyFont="1" applyFill="1" applyBorder="1" applyAlignment="1">
      <alignment horizontal="center" vertical="center" wrapText="1"/>
    </xf>
    <xf numFmtId="0" fontId="8" fillId="8" borderId="73" xfId="3" applyFont="1" applyFill="1" applyBorder="1" applyAlignment="1">
      <alignment horizontal="left" vertical="center" wrapText="1"/>
    </xf>
    <xf numFmtId="0" fontId="3" fillId="8" borderId="74" xfId="3" applyFont="1" applyFill="1" applyBorder="1" applyAlignment="1">
      <alignment vertical="center" wrapText="1"/>
    </xf>
    <xf numFmtId="0" fontId="8" fillId="8" borderId="75" xfId="3" applyFont="1" applyFill="1" applyBorder="1" applyAlignment="1">
      <alignment horizontal="left" vertical="center" wrapText="1"/>
    </xf>
    <xf numFmtId="0" fontId="3" fillId="8" borderId="76" xfId="3" applyFont="1" applyFill="1" applyBorder="1" applyAlignment="1">
      <alignment vertical="center" wrapText="1"/>
    </xf>
    <xf numFmtId="0" fontId="8" fillId="8" borderId="77" xfId="3" applyFont="1" applyFill="1" applyBorder="1" applyAlignment="1">
      <alignment horizontal="left" vertical="center" wrapText="1"/>
    </xf>
    <xf numFmtId="0" fontId="3" fillId="8" borderId="78" xfId="3" applyFont="1" applyFill="1" applyBorder="1" applyAlignment="1">
      <alignment vertical="center" wrapText="1"/>
    </xf>
    <xf numFmtId="0" fontId="9" fillId="8" borderId="74" xfId="3" applyFont="1" applyFill="1" applyBorder="1" applyAlignment="1">
      <alignment vertical="center" wrapText="1"/>
    </xf>
    <xf numFmtId="0" fontId="9" fillId="8" borderId="78" xfId="3" applyFont="1" applyFill="1" applyBorder="1" applyAlignment="1">
      <alignment vertical="center" wrapText="1"/>
    </xf>
    <xf numFmtId="0" fontId="8" fillId="27" borderId="73" xfId="3" applyFont="1" applyFill="1" applyBorder="1" applyAlignment="1">
      <alignment horizontal="left" vertical="center" wrapText="1"/>
    </xf>
    <xf numFmtId="0" fontId="8" fillId="27" borderId="75" xfId="3" applyFont="1" applyFill="1" applyBorder="1" applyAlignment="1">
      <alignment horizontal="left" vertical="center" wrapText="1"/>
    </xf>
    <xf numFmtId="0" fontId="9" fillId="8" borderId="76" xfId="3" applyFont="1" applyFill="1" applyBorder="1" applyAlignment="1">
      <alignment vertical="center" wrapText="1"/>
    </xf>
    <xf numFmtId="0" fontId="8" fillId="8" borderId="79" xfId="3" applyFont="1" applyFill="1" applyBorder="1" applyAlignment="1">
      <alignment horizontal="left" vertical="center" wrapText="1"/>
    </xf>
    <xf numFmtId="0" fontId="8" fillId="8" borderId="80" xfId="3" applyFont="1" applyFill="1" applyBorder="1" applyAlignment="1">
      <alignment horizontal="left" vertical="center" wrapText="1"/>
    </xf>
    <xf numFmtId="0" fontId="8" fillId="27" borderId="80" xfId="3" applyFont="1" applyFill="1" applyBorder="1" applyAlignment="1">
      <alignment horizontal="left" vertical="center" wrapText="1"/>
    </xf>
    <xf numFmtId="0" fontId="17" fillId="8" borderId="78" xfId="3" applyFont="1" applyFill="1" applyBorder="1" applyAlignment="1">
      <alignment vertical="center" wrapText="1"/>
    </xf>
    <xf numFmtId="0" fontId="8" fillId="27" borderId="81" xfId="3" applyFont="1" applyFill="1" applyBorder="1" applyAlignment="1">
      <alignment horizontal="left" vertical="center" wrapText="1"/>
    </xf>
    <xf numFmtId="0" fontId="3" fillId="8" borderId="82" xfId="3" applyFont="1" applyFill="1" applyBorder="1" applyAlignment="1">
      <alignment vertical="center" wrapText="1"/>
    </xf>
    <xf numFmtId="0" fontId="8" fillId="27" borderId="77" xfId="3" applyFont="1" applyFill="1" applyBorder="1" applyAlignment="1">
      <alignment horizontal="left" vertical="center" wrapText="1"/>
    </xf>
    <xf numFmtId="0" fontId="8" fillId="8" borderId="81" xfId="3" applyFont="1" applyFill="1" applyBorder="1" applyAlignment="1">
      <alignment horizontal="left" vertical="center" wrapText="1"/>
    </xf>
    <xf numFmtId="0" fontId="9" fillId="8" borderId="82" xfId="3" applyFont="1" applyFill="1" applyBorder="1" applyAlignment="1">
      <alignment vertical="center" wrapText="1"/>
    </xf>
    <xf numFmtId="0" fontId="7" fillId="8" borderId="73" xfId="3" applyFont="1" applyFill="1" applyBorder="1" applyAlignment="1">
      <alignment horizontal="left" vertical="center" wrapText="1"/>
    </xf>
    <xf numFmtId="0" fontId="7" fillId="27" borderId="75" xfId="3" applyFont="1" applyFill="1" applyBorder="1" applyAlignment="1">
      <alignment horizontal="left" vertical="center" wrapText="1"/>
    </xf>
    <xf numFmtId="0" fontId="7" fillId="8" borderId="75" xfId="3" applyFont="1" applyFill="1" applyBorder="1" applyAlignment="1">
      <alignment horizontal="left" vertical="center" wrapText="1"/>
    </xf>
    <xf numFmtId="0" fontId="9" fillId="8" borderId="79" xfId="3" applyFont="1" applyFill="1" applyBorder="1" applyAlignment="1">
      <alignment horizontal="left" vertical="center" wrapText="1"/>
    </xf>
    <xf numFmtId="0" fontId="8" fillId="8" borderId="83" xfId="3" applyFont="1" applyFill="1" applyBorder="1" applyAlignment="1">
      <alignment horizontal="left" vertical="center" wrapText="1"/>
    </xf>
    <xf numFmtId="0" fontId="9" fillId="8" borderId="84" xfId="3" applyFont="1" applyFill="1" applyBorder="1" applyAlignment="1">
      <alignment vertical="center" wrapText="1"/>
    </xf>
    <xf numFmtId="0" fontId="0" fillId="0" borderId="85" xfId="0" applyBorder="1"/>
    <xf numFmtId="0" fontId="14" fillId="23" borderId="22" xfId="0" applyFont="1" applyFill="1" applyBorder="1" applyAlignment="1">
      <alignment horizontal="center" wrapText="1"/>
    </xf>
    <xf numFmtId="0" fontId="14" fillId="16" borderId="22" xfId="0" applyFont="1" applyFill="1" applyBorder="1" applyAlignment="1">
      <alignment horizontal="center" wrapText="1"/>
    </xf>
    <xf numFmtId="0" fontId="0" fillId="14" borderId="0" xfId="0" applyFill="1"/>
    <xf numFmtId="1" fontId="62" fillId="24" borderId="0" xfId="0" applyNumberFormat="1" applyFont="1" applyFill="1" applyAlignment="1">
      <alignment horizontal="center"/>
    </xf>
    <xf numFmtId="164" fontId="0" fillId="0" borderId="0" xfId="0" applyNumberFormat="1"/>
    <xf numFmtId="1" fontId="62" fillId="33" borderId="0" xfId="0" applyNumberFormat="1" applyFont="1" applyFill="1" applyAlignment="1">
      <alignment horizontal="center"/>
    </xf>
    <xf numFmtId="1" fontId="62" fillId="7" borderId="0" xfId="0" applyNumberFormat="1" applyFont="1" applyFill="1" applyAlignment="1">
      <alignment horizontal="center"/>
    </xf>
    <xf numFmtId="0" fontId="30" fillId="13" borderId="2" xfId="2" applyFont="1" applyFill="1" applyBorder="1" applyAlignment="1">
      <alignment vertical="center" wrapText="1"/>
    </xf>
    <xf numFmtId="0" fontId="8" fillId="8" borderId="12" xfId="0" applyFont="1" applyFill="1" applyBorder="1" applyAlignment="1">
      <alignment vertical="center" wrapText="1"/>
    </xf>
    <xf numFmtId="0" fontId="72" fillId="8" borderId="2" xfId="0" applyFont="1" applyFill="1" applyBorder="1" applyAlignment="1">
      <alignment horizontal="center" vertical="center"/>
    </xf>
    <xf numFmtId="49" fontId="74" fillId="13" borderId="2" xfId="0" applyNumberFormat="1" applyFont="1" applyFill="1" applyBorder="1" applyAlignment="1">
      <alignment vertical="top" wrapText="1"/>
    </xf>
    <xf numFmtId="49" fontId="74" fillId="0" borderId="0" xfId="0" applyNumberFormat="1" applyFont="1" applyAlignment="1">
      <alignment vertical="top" wrapText="1"/>
    </xf>
    <xf numFmtId="0" fontId="27" fillId="6" borderId="0" xfId="2" applyFill="1" applyAlignment="1">
      <alignment horizontal="center" vertical="top"/>
    </xf>
    <xf numFmtId="0" fontId="0" fillId="0" borderId="0" xfId="0" applyAlignment="1">
      <alignment horizontal="center" vertical="top"/>
    </xf>
    <xf numFmtId="0" fontId="9" fillId="8" borderId="86" xfId="3" applyFont="1" applyFill="1" applyBorder="1" applyAlignment="1">
      <alignment vertical="center" wrapText="1"/>
    </xf>
    <xf numFmtId="0" fontId="9" fillId="8" borderId="61" xfId="3" applyFont="1" applyFill="1" applyBorder="1" applyAlignment="1">
      <alignment vertical="center" wrapText="1"/>
    </xf>
    <xf numFmtId="0" fontId="7" fillId="8" borderId="0" xfId="0" applyFont="1" applyFill="1"/>
    <xf numFmtId="0" fontId="7" fillId="8" borderId="29" xfId="0" applyFont="1" applyFill="1" applyBorder="1"/>
    <xf numFmtId="0" fontId="9" fillId="8" borderId="88" xfId="3" applyFont="1" applyFill="1" applyBorder="1" applyAlignment="1">
      <alignment vertical="center" wrapText="1"/>
    </xf>
    <xf numFmtId="0" fontId="0" fillId="0" borderId="89" xfId="0" applyBorder="1"/>
    <xf numFmtId="0" fontId="8" fillId="8" borderId="90" xfId="3" applyFont="1" applyFill="1" applyBorder="1" applyAlignment="1">
      <alignment horizontal="left" vertical="center" wrapText="1"/>
    </xf>
    <xf numFmtId="0" fontId="3" fillId="8" borderId="91" xfId="3" applyFont="1" applyFill="1" applyBorder="1" applyAlignment="1">
      <alignment vertical="center" wrapText="1"/>
    </xf>
    <xf numFmtId="0" fontId="9" fillId="8" borderId="92" xfId="3" applyFont="1" applyFill="1" applyBorder="1" applyAlignment="1">
      <alignment horizontal="left" vertical="center" wrapText="1"/>
    </xf>
    <xf numFmtId="0" fontId="9" fillId="8" borderId="91" xfId="3" applyFont="1" applyFill="1" applyBorder="1" applyAlignment="1">
      <alignment vertical="center" wrapText="1"/>
    </xf>
    <xf numFmtId="0" fontId="8" fillId="8" borderId="93" xfId="3" applyFont="1" applyFill="1" applyBorder="1" applyAlignment="1">
      <alignment horizontal="left" vertical="center" wrapText="1"/>
    </xf>
    <xf numFmtId="0" fontId="9" fillId="8" borderId="94" xfId="3" applyFont="1" applyFill="1" applyBorder="1" applyAlignment="1">
      <alignment vertical="center" wrapText="1"/>
    </xf>
    <xf numFmtId="0" fontId="7" fillId="27" borderId="90" xfId="3" applyFont="1" applyFill="1" applyBorder="1" applyAlignment="1">
      <alignment horizontal="left" vertical="center" wrapText="1"/>
    </xf>
    <xf numFmtId="0" fontId="0" fillId="7" borderId="1" xfId="0" applyFill="1" applyBorder="1" applyAlignment="1">
      <alignment wrapText="1"/>
    </xf>
    <xf numFmtId="0" fontId="63" fillId="6" borderId="0" xfId="0" applyFont="1" applyFill="1"/>
    <xf numFmtId="0" fontId="76" fillId="22" borderId="0" xfId="0" applyFont="1" applyFill="1" applyAlignment="1">
      <alignment horizontal="left" vertical="center"/>
    </xf>
    <xf numFmtId="0" fontId="16" fillId="0" borderId="22" xfId="0" applyFont="1" applyBorder="1"/>
    <xf numFmtId="0" fontId="0" fillId="0" borderId="27" xfId="0" applyBorder="1"/>
    <xf numFmtId="0" fontId="28" fillId="22" borderId="0" xfId="0" applyFont="1" applyFill="1"/>
    <xf numFmtId="0" fontId="59" fillId="6" borderId="10" xfId="0" applyFont="1" applyFill="1" applyBorder="1" applyAlignment="1">
      <alignment horizontal="center"/>
    </xf>
    <xf numFmtId="0" fontId="59" fillId="6" borderId="0" xfId="0" applyFont="1" applyFill="1" applyAlignment="1">
      <alignment horizontal="center"/>
    </xf>
    <xf numFmtId="0" fontId="59" fillId="6" borderId="34" xfId="0" applyFont="1" applyFill="1" applyBorder="1" applyAlignment="1">
      <alignment horizontal="center"/>
    </xf>
    <xf numFmtId="0" fontId="89" fillId="6" borderId="10" xfId="0" applyFont="1" applyFill="1" applyBorder="1" applyAlignment="1">
      <alignment horizontal="center"/>
    </xf>
    <xf numFmtId="0" fontId="89" fillId="6" borderId="0" xfId="0" applyFont="1" applyFill="1" applyAlignment="1">
      <alignment horizontal="center"/>
    </xf>
    <xf numFmtId="0" fontId="89" fillId="6" borderId="34" xfId="0" applyFont="1" applyFill="1" applyBorder="1" applyAlignment="1">
      <alignment horizontal="center"/>
    </xf>
    <xf numFmtId="0" fontId="80" fillId="0" borderId="7" xfId="0" applyFont="1" applyBorder="1"/>
    <xf numFmtId="0" fontId="88" fillId="0" borderId="0" xfId="0" applyFont="1"/>
    <xf numFmtId="0" fontId="14" fillId="0" borderId="27" xfId="0" applyFont="1" applyBorder="1"/>
    <xf numFmtId="0" fontId="0" fillId="0" borderId="28" xfId="0" applyBorder="1"/>
    <xf numFmtId="0" fontId="23" fillId="11" borderId="3" xfId="0" applyFont="1" applyFill="1" applyBorder="1" applyAlignment="1">
      <alignment horizontal="center" vertical="center"/>
    </xf>
    <xf numFmtId="0" fontId="0" fillId="22" borderId="27" xfId="0" applyFill="1" applyBorder="1"/>
    <xf numFmtId="0" fontId="10" fillId="22" borderId="10" xfId="2" applyFont="1" applyFill="1" applyBorder="1" applyAlignment="1">
      <alignment vertical="center" wrapText="1"/>
    </xf>
    <xf numFmtId="0" fontId="0" fillId="22" borderId="10" xfId="0" applyFill="1" applyBorder="1"/>
    <xf numFmtId="0" fontId="1" fillId="13" borderId="0" xfId="0" applyFont="1" applyFill="1" applyAlignment="1">
      <alignment horizontal="center" vertical="center"/>
    </xf>
    <xf numFmtId="0" fontId="26" fillId="13" borderId="0" xfId="0" applyFont="1" applyFill="1" applyAlignment="1">
      <alignment vertical="center"/>
    </xf>
    <xf numFmtId="0" fontId="20" fillId="13" borderId="0" xfId="0" applyFont="1" applyFill="1" applyAlignment="1">
      <alignment vertical="center" wrapText="1"/>
    </xf>
    <xf numFmtId="0" fontId="45" fillId="22" borderId="0" xfId="0" applyFont="1" applyFill="1"/>
    <xf numFmtId="0" fontId="45" fillId="8" borderId="2" xfId="0" applyFont="1" applyFill="1" applyBorder="1" applyAlignment="1">
      <alignment vertical="center"/>
    </xf>
    <xf numFmtId="0" fontId="8" fillId="8" borderId="30" xfId="3" applyFont="1" applyFill="1" applyBorder="1" applyAlignment="1">
      <alignment horizontal="left" vertical="center" wrapText="1" indent="1"/>
    </xf>
    <xf numFmtId="0" fontId="9" fillId="8" borderId="30" xfId="3" applyFont="1" applyFill="1" applyBorder="1" applyAlignment="1">
      <alignment vertical="center" wrapText="1"/>
    </xf>
    <xf numFmtId="0" fontId="34" fillId="7" borderId="12" xfId="3" applyFont="1" applyFill="1" applyBorder="1" applyAlignment="1">
      <alignment horizontal="center" vertical="center" wrapText="1"/>
    </xf>
    <xf numFmtId="0" fontId="5" fillId="7" borderId="12" xfId="3" applyFont="1" applyFill="1" applyBorder="1" applyAlignment="1">
      <alignment horizontal="center" vertical="center" wrapText="1"/>
    </xf>
    <xf numFmtId="0" fontId="5" fillId="7" borderId="10" xfId="3" applyFont="1" applyFill="1" applyBorder="1" applyAlignment="1">
      <alignment horizontal="center" vertical="center" wrapText="1"/>
    </xf>
    <xf numFmtId="0" fontId="8" fillId="8" borderId="2" xfId="3" applyFont="1" applyFill="1" applyBorder="1" applyAlignment="1">
      <alignment vertical="center" wrapText="1"/>
    </xf>
    <xf numFmtId="0" fontId="91" fillId="13" borderId="0" xfId="0" applyFont="1" applyFill="1" applyAlignment="1">
      <alignment horizontal="center" vertical="center" wrapText="1"/>
    </xf>
    <xf numFmtId="0" fontId="91" fillId="13" borderId="0" xfId="0" applyFont="1" applyFill="1" applyAlignment="1">
      <alignment vertical="center" wrapText="1"/>
    </xf>
    <xf numFmtId="0" fontId="23" fillId="0" borderId="0" xfId="0" applyFont="1" applyAlignment="1">
      <alignment horizontal="center" vertical="center"/>
    </xf>
    <xf numFmtId="0" fontId="32" fillId="13" borderId="0" xfId="0" applyFont="1" applyFill="1"/>
    <xf numFmtId="0" fontId="80" fillId="6" borderId="58" xfId="3" applyFont="1" applyFill="1" applyBorder="1" applyAlignment="1">
      <alignment vertical="center"/>
    </xf>
    <xf numFmtId="0" fontId="80" fillId="6" borderId="59" xfId="3" applyFont="1" applyFill="1" applyBorder="1" applyAlignment="1">
      <alignment vertical="center"/>
    </xf>
    <xf numFmtId="0" fontId="80" fillId="6" borderId="60" xfId="3" applyFont="1" applyFill="1" applyBorder="1" applyAlignment="1">
      <alignment vertical="center"/>
    </xf>
    <xf numFmtId="0" fontId="5" fillId="8" borderId="5" xfId="3" applyFont="1" applyFill="1" applyBorder="1" applyAlignment="1">
      <alignment horizontal="center" vertical="center"/>
    </xf>
    <xf numFmtId="0" fontId="3" fillId="0" borderId="4" xfId="3" applyFont="1" applyBorder="1" applyAlignment="1">
      <alignment horizontal="center" vertical="center" wrapText="1"/>
    </xf>
    <xf numFmtId="0" fontId="3" fillId="0" borderId="0" xfId="3" applyFont="1" applyAlignment="1">
      <alignment wrapText="1"/>
    </xf>
    <xf numFmtId="0" fontId="3" fillId="0" borderId="0" xfId="3" applyFont="1" applyAlignment="1">
      <alignment horizontal="center" vertical="center" wrapText="1"/>
    </xf>
    <xf numFmtId="0" fontId="3" fillId="0" borderId="0" xfId="0" applyFont="1" applyAlignment="1">
      <alignment vertical="center" wrapText="1"/>
    </xf>
    <xf numFmtId="0" fontId="78" fillId="26" borderId="0" xfId="0" applyFont="1" applyFill="1"/>
    <xf numFmtId="0" fontId="3" fillId="26" borderId="0" xfId="0" applyFont="1" applyFill="1"/>
    <xf numFmtId="0" fontId="77" fillId="26" borderId="0" xfId="0" applyFont="1" applyFill="1" applyAlignment="1">
      <alignment horizontal="left" vertical="center"/>
    </xf>
    <xf numFmtId="0" fontId="77" fillId="26" borderId="0" xfId="0" applyFont="1" applyFill="1"/>
    <xf numFmtId="0" fontId="49" fillId="26" borderId="0" xfId="0" applyFont="1" applyFill="1"/>
    <xf numFmtId="0" fontId="3" fillId="26" borderId="0" xfId="0" applyFont="1" applyFill="1" applyAlignment="1">
      <alignment vertical="top" wrapText="1"/>
    </xf>
    <xf numFmtId="0" fontId="7" fillId="26" borderId="0" xfId="0" applyFont="1" applyFill="1"/>
    <xf numFmtId="0" fontId="1" fillId="26" borderId="0" xfId="0" applyFont="1" applyFill="1"/>
    <xf numFmtId="0" fontId="48" fillId="26" borderId="0" xfId="5" applyFont="1" applyFill="1" applyBorder="1" applyAlignment="1"/>
    <xf numFmtId="0" fontId="47" fillId="26" borderId="0" xfId="0" applyFont="1" applyFill="1" applyAlignment="1">
      <alignment horizontal="left" vertical="center" wrapText="1"/>
    </xf>
    <xf numFmtId="0" fontId="3" fillId="26" borderId="0" xfId="0" applyFont="1" applyFill="1" applyAlignment="1">
      <alignment wrapText="1"/>
    </xf>
    <xf numFmtId="0" fontId="92" fillId="13" borderId="2" xfId="2" applyFont="1" applyFill="1" applyBorder="1" applyAlignment="1">
      <alignment horizontal="center" vertical="center" wrapText="1"/>
    </xf>
    <xf numFmtId="0" fontId="3" fillId="20" borderId="2" xfId="3" applyFont="1" applyFill="1" applyBorder="1" applyAlignment="1">
      <alignment horizontal="left" vertical="center" wrapText="1"/>
    </xf>
    <xf numFmtId="0" fontId="3" fillId="20" borderId="3" xfId="3" applyFont="1" applyFill="1" applyBorder="1" applyAlignment="1">
      <alignment horizontal="center" vertical="center" wrapText="1"/>
    </xf>
    <xf numFmtId="0" fontId="31" fillId="0" borderId="0" xfId="3"/>
    <xf numFmtId="0" fontId="0" fillId="0" borderId="0" xfId="0" applyAlignment="1">
      <alignment vertical="top" wrapText="1"/>
    </xf>
    <xf numFmtId="0" fontId="3" fillId="26" borderId="9" xfId="3" applyFont="1" applyFill="1" applyBorder="1"/>
    <xf numFmtId="0" fontId="17" fillId="20" borderId="3" xfId="3" applyFont="1" applyFill="1" applyBorder="1" applyAlignment="1">
      <alignment vertical="center" wrapText="1"/>
    </xf>
    <xf numFmtId="0" fontId="3" fillId="20" borderId="3" xfId="3" applyFont="1" applyFill="1" applyBorder="1" applyAlignment="1">
      <alignment vertical="center" wrapText="1"/>
    </xf>
    <xf numFmtId="0" fontId="38" fillId="20" borderId="3" xfId="3" applyFont="1" applyFill="1" applyBorder="1" applyAlignment="1">
      <alignment vertical="center" wrapText="1"/>
    </xf>
    <xf numFmtId="0" fontId="17" fillId="20" borderId="2" xfId="3" applyFont="1" applyFill="1" applyBorder="1" applyAlignment="1">
      <alignment horizontal="left" vertical="center" wrapText="1"/>
    </xf>
    <xf numFmtId="0" fontId="9" fillId="20" borderId="2" xfId="3" applyFont="1" applyFill="1" applyBorder="1" applyAlignment="1">
      <alignment horizontal="left" vertical="center" wrapText="1"/>
    </xf>
    <xf numFmtId="0" fontId="9" fillId="20" borderId="30" xfId="3" applyFont="1" applyFill="1" applyBorder="1" applyAlignment="1">
      <alignment horizontal="left" vertical="center" wrapText="1"/>
    </xf>
    <xf numFmtId="0" fontId="3" fillId="20" borderId="30" xfId="3" applyFont="1" applyFill="1" applyBorder="1" applyAlignment="1">
      <alignment horizontal="left" vertical="center" wrapText="1"/>
    </xf>
    <xf numFmtId="0" fontId="3" fillId="20" borderId="14" xfId="3" applyFont="1" applyFill="1" applyBorder="1" applyAlignment="1">
      <alignment vertical="center" wrapText="1"/>
    </xf>
    <xf numFmtId="0" fontId="9" fillId="20" borderId="5" xfId="3" applyFont="1" applyFill="1" applyBorder="1" applyAlignment="1">
      <alignment horizontal="left" vertical="center" wrapText="1"/>
    </xf>
    <xf numFmtId="0" fontId="49" fillId="0" borderId="0" xfId="0" applyFont="1"/>
    <xf numFmtId="0" fontId="3" fillId="0" borderId="0" xfId="0" applyFont="1" applyAlignment="1">
      <alignment wrapText="1"/>
    </xf>
    <xf numFmtId="49" fontId="78" fillId="0" borderId="0" xfId="0" applyNumberFormat="1" applyFont="1" applyAlignment="1">
      <alignment horizontal="center"/>
    </xf>
    <xf numFmtId="49" fontId="78" fillId="26" borderId="0" xfId="0" applyNumberFormat="1" applyFont="1" applyFill="1" applyAlignment="1">
      <alignment horizontal="center"/>
    </xf>
    <xf numFmtId="49" fontId="78" fillId="26" borderId="0" xfId="0" applyNumberFormat="1" applyFont="1" applyFill="1" applyAlignment="1">
      <alignment horizontal="left"/>
    </xf>
    <xf numFmtId="0" fontId="3" fillId="34" borderId="9" xfId="3" applyFont="1" applyFill="1" applyBorder="1" applyAlignment="1">
      <alignment horizontal="left" vertical="center" wrapText="1" indent="1"/>
    </xf>
    <xf numFmtId="0" fontId="3" fillId="26" borderId="0" xfId="0" applyFont="1" applyFill="1" applyAlignment="1">
      <alignment horizontal="left" wrapText="1"/>
    </xf>
    <xf numFmtId="0" fontId="3" fillId="26" borderId="0" xfId="0" applyFont="1" applyFill="1" applyAlignment="1">
      <alignment horizontal="center"/>
    </xf>
    <xf numFmtId="0" fontId="3" fillId="21" borderId="30" xfId="3" applyFont="1" applyFill="1" applyBorder="1" applyAlignment="1">
      <alignment horizontal="left" vertical="center" wrapText="1" indent="1"/>
    </xf>
    <xf numFmtId="0" fontId="3" fillId="21" borderId="9" xfId="3" applyFont="1" applyFill="1" applyBorder="1" applyAlignment="1">
      <alignment horizontal="left" vertical="center" wrapText="1" indent="1"/>
    </xf>
    <xf numFmtId="0" fontId="3" fillId="21" borderId="12" xfId="3" applyFont="1" applyFill="1" applyBorder="1" applyAlignment="1">
      <alignment horizontal="left" vertical="center" wrapText="1" indent="1"/>
    </xf>
    <xf numFmtId="0" fontId="80" fillId="6" borderId="2" xfId="3" applyFont="1" applyFill="1" applyBorder="1" applyAlignment="1">
      <alignment horizontal="center"/>
    </xf>
    <xf numFmtId="0" fontId="5" fillId="8" borderId="14" xfId="3" applyFont="1" applyFill="1" applyBorder="1" applyAlignment="1">
      <alignment horizontal="center" vertical="center" wrapText="1"/>
    </xf>
    <xf numFmtId="0" fontId="5" fillId="8" borderId="10" xfId="3" applyFont="1" applyFill="1" applyBorder="1" applyAlignment="1">
      <alignment horizontal="center" vertical="center" wrapText="1"/>
    </xf>
    <xf numFmtId="0" fontId="5" fillId="8" borderId="13" xfId="3" applyFont="1" applyFill="1" applyBorder="1" applyAlignment="1">
      <alignment horizontal="center" vertical="center" wrapText="1"/>
    </xf>
    <xf numFmtId="0" fontId="5" fillId="8" borderId="30" xfId="3" applyFont="1" applyFill="1" applyBorder="1" applyAlignment="1">
      <alignment horizontal="center" vertical="center"/>
    </xf>
    <xf numFmtId="0" fontId="5" fillId="8" borderId="9" xfId="3" applyFont="1" applyFill="1" applyBorder="1" applyAlignment="1">
      <alignment horizontal="center" vertical="center"/>
    </xf>
    <xf numFmtId="0" fontId="5" fillId="8" borderId="12" xfId="3" applyFont="1" applyFill="1" applyBorder="1" applyAlignment="1">
      <alignment horizontal="center" vertical="center"/>
    </xf>
    <xf numFmtId="0" fontId="3" fillId="0" borderId="14" xfId="3" applyFont="1" applyBorder="1" applyAlignment="1">
      <alignment horizontal="center" vertical="center" wrapText="1"/>
    </xf>
    <xf numFmtId="0" fontId="3" fillId="0" borderId="10" xfId="3" applyFont="1" applyBorder="1" applyAlignment="1">
      <alignment horizontal="center" vertical="center" wrapText="1"/>
    </xf>
    <xf numFmtId="0" fontId="3" fillId="0" borderId="13" xfId="3" applyFont="1" applyBorder="1" applyAlignment="1">
      <alignment horizontal="center" vertical="center" wrapText="1"/>
    </xf>
    <xf numFmtId="0" fontId="8" fillId="8" borderId="2" xfId="3" applyFont="1" applyFill="1" applyBorder="1" applyAlignment="1">
      <alignment horizontal="left" vertical="center" wrapText="1"/>
    </xf>
    <xf numFmtId="0" fontId="40" fillId="26" borderId="0" xfId="3" applyFont="1" applyFill="1" applyAlignment="1">
      <alignment horizontal="center"/>
    </xf>
    <xf numFmtId="0" fontId="33" fillId="8" borderId="2" xfId="3" applyFont="1" applyFill="1" applyBorder="1" applyAlignment="1">
      <alignment horizontal="center" vertical="center"/>
    </xf>
    <xf numFmtId="0" fontId="5" fillId="8" borderId="2" xfId="3" applyFont="1" applyFill="1" applyBorder="1" applyAlignment="1">
      <alignment horizontal="center" vertical="center" wrapText="1"/>
    </xf>
    <xf numFmtId="0" fontId="33" fillId="8" borderId="12" xfId="3" applyFont="1" applyFill="1" applyBorder="1" applyAlignment="1">
      <alignment horizontal="center" vertical="center"/>
    </xf>
    <xf numFmtId="0" fontId="8" fillId="8" borderId="2" xfId="3" applyFont="1" applyFill="1" applyBorder="1" applyAlignment="1">
      <alignment horizontal="left" vertical="center" wrapText="1" indent="1"/>
    </xf>
    <xf numFmtId="0" fontId="36" fillId="26" borderId="0" xfId="3" applyFont="1" applyFill="1" applyAlignment="1">
      <alignment horizontal="left" vertical="center" textRotation="90" wrapText="1"/>
    </xf>
    <xf numFmtId="0" fontId="3" fillId="21" borderId="3" xfId="3" applyFont="1" applyFill="1" applyBorder="1" applyAlignment="1">
      <alignment horizontal="left" vertical="center" wrapText="1" indent="1"/>
    </xf>
    <xf numFmtId="0" fontId="3" fillId="21" borderId="4" xfId="3" applyFont="1" applyFill="1" applyBorder="1" applyAlignment="1">
      <alignment horizontal="left" vertical="center" wrapText="1" indent="1"/>
    </xf>
    <xf numFmtId="0" fontId="3" fillId="21" borderId="5" xfId="3" applyFont="1" applyFill="1" applyBorder="1" applyAlignment="1">
      <alignment horizontal="left" vertical="center" wrapText="1" indent="1"/>
    </xf>
    <xf numFmtId="0" fontId="83" fillId="8" borderId="14" xfId="3" applyFont="1" applyFill="1" applyBorder="1" applyAlignment="1">
      <alignment horizontal="center" vertical="center" wrapText="1"/>
    </xf>
    <xf numFmtId="0" fontId="83" fillId="8" borderId="7" xfId="3" applyFont="1" applyFill="1" applyBorder="1" applyAlignment="1">
      <alignment horizontal="center" vertical="center" wrapText="1"/>
    </xf>
    <xf numFmtId="0" fontId="83" fillId="8" borderId="26" xfId="3" applyFont="1" applyFill="1" applyBorder="1" applyAlignment="1">
      <alignment horizontal="center" vertical="center" wrapText="1"/>
    </xf>
    <xf numFmtId="0" fontId="80" fillId="6" borderId="14" xfId="3" applyFont="1" applyFill="1" applyBorder="1" applyAlignment="1">
      <alignment horizontal="center" vertical="center"/>
    </xf>
    <xf numFmtId="0" fontId="80" fillId="6" borderId="7" xfId="3" applyFont="1" applyFill="1" applyBorder="1" applyAlignment="1">
      <alignment horizontal="center" vertical="center"/>
    </xf>
    <xf numFmtId="0" fontId="80" fillId="6" borderId="4" xfId="3" applyFont="1" applyFill="1" applyBorder="1" applyAlignment="1">
      <alignment horizontal="center" vertical="center"/>
    </xf>
    <xf numFmtId="0" fontId="80" fillId="6" borderId="5" xfId="3" applyFont="1" applyFill="1" applyBorder="1" applyAlignment="1">
      <alignment horizontal="center" vertical="center"/>
    </xf>
    <xf numFmtId="0" fontId="3" fillId="20" borderId="5" xfId="3" applyFont="1" applyFill="1" applyBorder="1" applyAlignment="1">
      <alignment horizontal="center" vertical="top" wrapText="1"/>
    </xf>
    <xf numFmtId="0" fontId="3" fillId="20" borderId="2" xfId="3" applyFont="1" applyFill="1" applyBorder="1" applyAlignment="1">
      <alignment horizontal="center" vertical="top" wrapText="1"/>
    </xf>
    <xf numFmtId="0" fontId="3" fillId="20" borderId="26" xfId="3" applyFont="1" applyFill="1" applyBorder="1" applyAlignment="1">
      <alignment horizontal="center" vertical="top" wrapText="1"/>
    </xf>
    <xf numFmtId="0" fontId="3" fillId="20" borderId="30" xfId="3" applyFont="1" applyFill="1" applyBorder="1" applyAlignment="1">
      <alignment horizontal="center" vertical="top" wrapText="1"/>
    </xf>
    <xf numFmtId="0" fontId="3" fillId="0" borderId="4" xfId="3" applyFont="1" applyBorder="1" applyAlignment="1">
      <alignment horizontal="left" vertical="center" wrapText="1"/>
    </xf>
    <xf numFmtId="0" fontId="3" fillId="0" borderId="5" xfId="3" applyFont="1" applyBorder="1" applyAlignment="1">
      <alignment horizontal="left" vertical="center" wrapText="1"/>
    </xf>
    <xf numFmtId="0" fontId="7" fillId="8" borderId="30" xfId="3" applyFont="1" applyFill="1" applyBorder="1" applyAlignment="1">
      <alignment horizontal="left" vertical="center" wrapText="1" indent="1"/>
    </xf>
    <xf numFmtId="0" fontId="8" fillId="8" borderId="30" xfId="3" applyFont="1" applyFill="1" applyBorder="1" applyAlignment="1">
      <alignment horizontal="left" vertical="center" wrapText="1" indent="1"/>
    </xf>
    <xf numFmtId="0" fontId="8" fillId="8" borderId="9" xfId="3" applyFont="1" applyFill="1" applyBorder="1" applyAlignment="1">
      <alignment horizontal="left" vertical="center" wrapText="1" indent="1"/>
    </xf>
    <xf numFmtId="0" fontId="8" fillId="8" borderId="12" xfId="3" applyFont="1" applyFill="1" applyBorder="1" applyAlignment="1">
      <alignment horizontal="left" vertical="center" wrapText="1" indent="1"/>
    </xf>
    <xf numFmtId="0" fontId="79" fillId="22" borderId="0" xfId="0" applyFont="1" applyFill="1" applyAlignment="1">
      <alignment horizontal="left" vertical="center" wrapText="1"/>
    </xf>
    <xf numFmtId="0" fontId="60" fillId="22" borderId="3" xfId="3" applyFont="1" applyFill="1" applyBorder="1" applyAlignment="1">
      <alignment horizontal="center" vertical="center" wrapText="1"/>
    </xf>
    <xf numFmtId="0" fontId="60" fillId="22" borderId="5" xfId="3" applyFont="1" applyFill="1" applyBorder="1" applyAlignment="1">
      <alignment horizontal="center" vertical="center" wrapText="1"/>
    </xf>
    <xf numFmtId="0" fontId="71" fillId="13" borderId="30" xfId="2" applyFont="1" applyFill="1" applyBorder="1" applyAlignment="1">
      <alignment horizontal="left" vertical="center" wrapText="1"/>
    </xf>
    <xf numFmtId="0" fontId="71" fillId="13" borderId="12" xfId="2" applyFont="1" applyFill="1" applyBorder="1" applyAlignment="1">
      <alignment horizontal="left" vertical="center" wrapText="1"/>
    </xf>
    <xf numFmtId="0" fontId="55" fillId="22" borderId="0" xfId="0" applyFont="1" applyFill="1" applyAlignment="1">
      <alignment horizontal="right" vertical="center"/>
    </xf>
    <xf numFmtId="0" fontId="71" fillId="13" borderId="9" xfId="2" applyFont="1" applyFill="1" applyBorder="1" applyAlignment="1">
      <alignment horizontal="left" vertical="center" wrapText="1"/>
    </xf>
    <xf numFmtId="0" fontId="55" fillId="22" borderId="54" xfId="0" applyFont="1" applyFill="1" applyBorder="1" applyAlignment="1">
      <alignment horizontal="right" vertical="center"/>
    </xf>
    <xf numFmtId="0" fontId="35" fillId="22" borderId="0" xfId="0" applyFont="1" applyFill="1" applyAlignment="1">
      <alignment horizontal="center" vertical="center"/>
    </xf>
    <xf numFmtId="0" fontId="67" fillId="22" borderId="52" xfId="0" applyFont="1" applyFill="1" applyBorder="1" applyAlignment="1">
      <alignment horizontal="center" vertical="center" wrapText="1"/>
    </xf>
    <xf numFmtId="0" fontId="67" fillId="22" borderId="0" xfId="0" applyFont="1" applyFill="1" applyAlignment="1">
      <alignment horizontal="center" vertical="center" wrapText="1"/>
    </xf>
    <xf numFmtId="0" fontId="75" fillId="22" borderId="0" xfId="0" applyFont="1" applyFill="1" applyAlignment="1">
      <alignment horizontal="left" vertical="center" wrapText="1"/>
    </xf>
    <xf numFmtId="0" fontId="30" fillId="13" borderId="30" xfId="2" applyFont="1" applyFill="1" applyBorder="1" applyAlignment="1">
      <alignment vertical="center" wrapText="1"/>
    </xf>
    <xf numFmtId="0" fontId="30" fillId="13" borderId="12" xfId="2" applyFont="1" applyFill="1" applyBorder="1" applyAlignment="1">
      <alignment vertical="center" wrapText="1"/>
    </xf>
    <xf numFmtId="0" fontId="30" fillId="13" borderId="2" xfId="2" applyFont="1" applyFill="1" applyBorder="1" applyAlignment="1">
      <alignment horizontal="left" vertical="center" wrapText="1"/>
    </xf>
    <xf numFmtId="0" fontId="13" fillId="13" borderId="2" xfId="2" applyFont="1" applyFill="1" applyBorder="1" applyAlignment="1">
      <alignment horizontal="left" vertical="center" wrapText="1"/>
    </xf>
    <xf numFmtId="0" fontId="36" fillId="7" borderId="86" xfId="3" applyFont="1" applyFill="1" applyBorder="1" applyAlignment="1">
      <alignment horizontal="left" vertical="center" textRotation="90" wrapText="1"/>
    </xf>
    <xf numFmtId="0" fontId="36" fillId="7" borderId="87" xfId="3" applyFont="1" applyFill="1" applyBorder="1" applyAlignment="1">
      <alignment horizontal="left" vertical="center" textRotation="90" wrapText="1"/>
    </xf>
    <xf numFmtId="0" fontId="36" fillId="7" borderId="86" xfId="3" applyFont="1" applyFill="1" applyBorder="1" applyAlignment="1">
      <alignment horizontal="center" vertical="center" textRotation="90" wrapText="1"/>
    </xf>
    <xf numFmtId="0" fontId="36" fillId="7" borderId="87" xfId="3" applyFont="1" applyFill="1" applyBorder="1" applyAlignment="1">
      <alignment horizontal="center" vertical="center" textRotation="90" wrapText="1"/>
    </xf>
    <xf numFmtId="0" fontId="8" fillId="8" borderId="86" xfId="3" applyFont="1" applyFill="1" applyBorder="1" applyAlignment="1">
      <alignment horizontal="left" vertical="center" wrapText="1"/>
    </xf>
    <xf numFmtId="0" fontId="8" fillId="8" borderId="87" xfId="3" applyFont="1" applyFill="1" applyBorder="1" applyAlignment="1">
      <alignment horizontal="left" vertical="center" wrapText="1"/>
    </xf>
    <xf numFmtId="0" fontId="8" fillId="8" borderId="30" xfId="3" applyFont="1" applyFill="1" applyBorder="1" applyAlignment="1">
      <alignment horizontal="left" vertical="center" wrapText="1"/>
    </xf>
    <xf numFmtId="0" fontId="8" fillId="8" borderId="9" xfId="3" applyFont="1" applyFill="1" applyBorder="1" applyAlignment="1">
      <alignment horizontal="left" vertical="center" wrapText="1"/>
    </xf>
    <xf numFmtId="0" fontId="34" fillId="7" borderId="13" xfId="3" applyFont="1" applyFill="1" applyBorder="1" applyAlignment="1">
      <alignment horizontal="center" vertical="center" wrapText="1"/>
    </xf>
    <xf numFmtId="0" fontId="34" fillId="7" borderId="28" xfId="3" applyFont="1" applyFill="1" applyBorder="1" applyAlignment="1">
      <alignment horizontal="center" vertical="center" wrapText="1"/>
    </xf>
    <xf numFmtId="0" fontId="36" fillId="7" borderId="30" xfId="3" applyFont="1" applyFill="1" applyBorder="1" applyAlignment="1">
      <alignment horizontal="left" vertical="center" textRotation="90" wrapText="1"/>
    </xf>
    <xf numFmtId="0" fontId="36" fillId="7" borderId="9" xfId="3" applyFont="1" applyFill="1" applyBorder="1" applyAlignment="1">
      <alignment horizontal="left" vertical="center" textRotation="90" wrapText="1"/>
    </xf>
    <xf numFmtId="0" fontId="36" fillId="7" borderId="12" xfId="3" applyFont="1" applyFill="1" applyBorder="1" applyAlignment="1">
      <alignment horizontal="left" vertical="center" textRotation="90" wrapText="1"/>
    </xf>
    <xf numFmtId="0" fontId="8" fillId="8" borderId="12" xfId="3" applyFont="1" applyFill="1" applyBorder="1" applyAlignment="1">
      <alignment horizontal="left" vertical="center" wrapText="1"/>
    </xf>
    <xf numFmtId="0" fontId="5" fillId="7" borderId="3" xfId="3" applyFont="1" applyFill="1" applyBorder="1" applyAlignment="1">
      <alignment horizontal="center" vertical="center" wrapText="1"/>
    </xf>
    <xf numFmtId="0" fontId="5" fillId="7" borderId="5" xfId="3" applyFont="1" applyFill="1" applyBorder="1" applyAlignment="1">
      <alignment horizontal="center" vertical="center" wrapText="1"/>
    </xf>
    <xf numFmtId="0" fontId="33" fillId="8" borderId="3" xfId="3" applyFont="1" applyFill="1" applyBorder="1" applyAlignment="1">
      <alignment horizontal="center" vertical="center"/>
    </xf>
    <xf numFmtId="0" fontId="33" fillId="8" borderId="4" xfId="3" applyFont="1" applyFill="1" applyBorder="1" applyAlignment="1">
      <alignment horizontal="center" vertical="center"/>
    </xf>
    <xf numFmtId="0" fontId="33" fillId="8" borderId="5" xfId="3" applyFont="1" applyFill="1" applyBorder="1" applyAlignment="1">
      <alignment horizontal="center" vertical="center"/>
    </xf>
    <xf numFmtId="0" fontId="7" fillId="8" borderId="30" xfId="3" applyFont="1" applyFill="1" applyBorder="1" applyAlignment="1">
      <alignment horizontal="left" vertical="center" wrapText="1"/>
    </xf>
    <xf numFmtId="0" fontId="7" fillId="8" borderId="9" xfId="3" applyFont="1" applyFill="1" applyBorder="1" applyAlignment="1">
      <alignment horizontal="left" vertical="center" wrapText="1"/>
    </xf>
    <xf numFmtId="0" fontId="7" fillId="8" borderId="12" xfId="3" applyFont="1" applyFill="1" applyBorder="1" applyAlignment="1">
      <alignment horizontal="left" vertical="center" wrapText="1"/>
    </xf>
    <xf numFmtId="0" fontId="59" fillId="25" borderId="3" xfId="3" applyFont="1" applyFill="1" applyBorder="1" applyAlignment="1">
      <alignment horizontal="center" vertical="center"/>
    </xf>
    <xf numFmtId="0" fontId="59" fillId="25" borderId="4" xfId="3" applyFont="1" applyFill="1" applyBorder="1" applyAlignment="1">
      <alignment horizontal="center" vertical="center"/>
    </xf>
    <xf numFmtId="0" fontId="59" fillId="25" borderId="5" xfId="3" applyFont="1" applyFill="1" applyBorder="1" applyAlignment="1">
      <alignment horizontal="center" vertical="center"/>
    </xf>
    <xf numFmtId="0" fontId="5" fillId="8" borderId="3" xfId="3" applyFont="1" applyFill="1" applyBorder="1" applyAlignment="1">
      <alignment horizontal="center" vertical="center"/>
    </xf>
    <xf numFmtId="0" fontId="5" fillId="8" borderId="5" xfId="3" applyFont="1" applyFill="1" applyBorder="1" applyAlignment="1">
      <alignment horizontal="center" vertical="center"/>
    </xf>
    <xf numFmtId="0" fontId="5" fillId="8" borderId="3" xfId="3" applyFont="1" applyFill="1" applyBorder="1" applyAlignment="1">
      <alignment horizontal="center" vertical="center" wrapText="1"/>
    </xf>
    <xf numFmtId="0" fontId="5" fillId="8" borderId="4" xfId="3" applyFont="1" applyFill="1" applyBorder="1" applyAlignment="1">
      <alignment horizontal="center" vertical="center" wrapText="1"/>
    </xf>
    <xf numFmtId="0" fontId="5" fillId="8" borderId="5" xfId="3" applyFont="1" applyFill="1" applyBorder="1" applyAlignment="1">
      <alignment horizontal="center" vertical="center" wrapText="1"/>
    </xf>
    <xf numFmtId="0" fontId="3" fillId="20" borderId="2" xfId="3" applyFont="1" applyFill="1" applyBorder="1" applyAlignment="1">
      <alignment horizontal="center" vertical="center" wrapText="1"/>
    </xf>
    <xf numFmtId="0" fontId="3" fillId="20" borderId="2" xfId="3" applyFont="1" applyFill="1" applyBorder="1" applyAlignment="1">
      <alignment horizontal="left" vertical="center" wrapText="1"/>
    </xf>
    <xf numFmtId="0" fontId="35" fillId="7" borderId="30" xfId="3" applyFont="1" applyFill="1" applyBorder="1" applyAlignment="1">
      <alignment horizontal="left" vertical="center" textRotation="90" wrapText="1"/>
    </xf>
    <xf numFmtId="0" fontId="35" fillId="7" borderId="9" xfId="3" applyFont="1" applyFill="1" applyBorder="1" applyAlignment="1">
      <alignment horizontal="left" vertical="center" textRotation="90" wrapText="1"/>
    </xf>
    <xf numFmtId="0" fontId="35" fillId="7" borderId="12" xfId="3" applyFont="1" applyFill="1" applyBorder="1" applyAlignment="1">
      <alignment horizontal="left" vertical="center" textRotation="90" wrapText="1"/>
    </xf>
    <xf numFmtId="0" fontId="34" fillId="7" borderId="3" xfId="3" applyFont="1" applyFill="1" applyBorder="1" applyAlignment="1">
      <alignment horizontal="center" vertical="center" wrapText="1"/>
    </xf>
    <xf numFmtId="0" fontId="34" fillId="7" borderId="5" xfId="3" applyFont="1" applyFill="1" applyBorder="1" applyAlignment="1">
      <alignment horizontal="center" vertical="center" wrapText="1"/>
    </xf>
    <xf numFmtId="0" fontId="59" fillId="28" borderId="3" xfId="3" applyFont="1" applyFill="1" applyBorder="1" applyAlignment="1">
      <alignment horizontal="center" vertical="center"/>
    </xf>
    <xf numFmtId="0" fontId="59" fillId="28" borderId="4" xfId="3" applyFont="1" applyFill="1" applyBorder="1" applyAlignment="1">
      <alignment horizontal="center" vertical="center"/>
    </xf>
    <xf numFmtId="0" fontId="59" fillId="28" borderId="5" xfId="3" applyFont="1" applyFill="1" applyBorder="1" applyAlignment="1">
      <alignment horizontal="center" vertical="center"/>
    </xf>
    <xf numFmtId="0" fontId="3" fillId="20" borderId="3" xfId="3" applyFont="1" applyFill="1" applyBorder="1" applyAlignment="1">
      <alignment horizontal="left" vertical="center" wrapText="1"/>
    </xf>
    <xf numFmtId="0" fontId="3" fillId="20" borderId="4" xfId="3" applyFont="1" applyFill="1" applyBorder="1" applyAlignment="1">
      <alignment horizontal="left" vertical="center" wrapText="1"/>
    </xf>
    <xf numFmtId="0" fontId="3" fillId="20" borderId="5" xfId="3" applyFont="1" applyFill="1" applyBorder="1" applyAlignment="1">
      <alignment horizontal="left" vertical="center" wrapText="1"/>
    </xf>
    <xf numFmtId="0" fontId="3" fillId="20" borderId="3" xfId="3" applyFont="1" applyFill="1" applyBorder="1" applyAlignment="1">
      <alignment horizontal="center" vertical="center" wrapText="1"/>
    </xf>
    <xf numFmtId="0" fontId="3" fillId="20" borderId="5" xfId="3" applyFont="1" applyFill="1" applyBorder="1" applyAlignment="1">
      <alignment horizontal="center" vertical="center" wrapText="1"/>
    </xf>
    <xf numFmtId="0" fontId="33" fillId="8" borderId="13" xfId="3" applyFont="1" applyFill="1" applyBorder="1" applyAlignment="1">
      <alignment horizontal="center" vertical="center"/>
    </xf>
    <xf numFmtId="0" fontId="33" fillId="8" borderId="27" xfId="3" applyFont="1" applyFill="1" applyBorder="1" applyAlignment="1">
      <alignment horizontal="center" vertical="center"/>
    </xf>
    <xf numFmtId="0" fontId="59" fillId="24" borderId="3" xfId="3" applyFont="1" applyFill="1" applyBorder="1" applyAlignment="1">
      <alignment horizontal="center" vertical="center"/>
    </xf>
    <xf numFmtId="0" fontId="59" fillId="24" borderId="4" xfId="3" applyFont="1" applyFill="1" applyBorder="1" applyAlignment="1">
      <alignment horizontal="center" vertical="center"/>
    </xf>
    <xf numFmtId="0" fontId="59" fillId="24" borderId="5" xfId="3" applyFont="1" applyFill="1" applyBorder="1" applyAlignment="1">
      <alignment horizontal="center" vertical="center"/>
    </xf>
    <xf numFmtId="0" fontId="5" fillId="8" borderId="2" xfId="3" applyFont="1" applyFill="1" applyBorder="1" applyAlignment="1">
      <alignment horizontal="center" vertical="center"/>
    </xf>
    <xf numFmtId="0" fontId="3" fillId="0" borderId="27" xfId="3" applyFont="1" applyBorder="1" applyAlignment="1">
      <alignment horizontal="center" vertical="center" wrapText="1"/>
    </xf>
    <xf numFmtId="0" fontId="3" fillId="0" borderId="27" xfId="3" applyFont="1" applyBorder="1" applyAlignment="1">
      <alignment horizontal="left" vertical="center" wrapText="1"/>
    </xf>
    <xf numFmtId="0" fontId="3" fillId="0" borderId="28" xfId="3" applyFont="1" applyBorder="1" applyAlignment="1">
      <alignment horizontal="left" vertical="center" wrapText="1"/>
    </xf>
    <xf numFmtId="0" fontId="8" fillId="27" borderId="30" xfId="3" applyFont="1" applyFill="1" applyBorder="1" applyAlignment="1">
      <alignment horizontal="left" vertical="center" wrapText="1"/>
    </xf>
    <xf numFmtId="0" fontId="8" fillId="27" borderId="12" xfId="3" applyFont="1" applyFill="1" applyBorder="1" applyAlignment="1">
      <alignment horizontal="left" vertical="center" wrapText="1"/>
    </xf>
    <xf numFmtId="0" fontId="8" fillId="8" borderId="66" xfId="3" applyFont="1" applyFill="1" applyBorder="1" applyAlignment="1">
      <alignment horizontal="left" vertical="center" wrapText="1"/>
    </xf>
    <xf numFmtId="0" fontId="36" fillId="7" borderId="62" xfId="3" applyFont="1" applyFill="1" applyBorder="1" applyAlignment="1">
      <alignment horizontal="left" vertical="center" textRotation="90" wrapText="1"/>
    </xf>
    <xf numFmtId="0" fontId="36" fillId="7" borderId="64" xfId="3" applyFont="1" applyFill="1" applyBorder="1" applyAlignment="1">
      <alignment horizontal="left" vertical="center" textRotation="90" wrapText="1"/>
    </xf>
    <xf numFmtId="0" fontId="36" fillId="7" borderId="65" xfId="3" applyFont="1" applyFill="1" applyBorder="1" applyAlignment="1">
      <alignment horizontal="left" vertical="center" textRotation="90" wrapText="1"/>
    </xf>
    <xf numFmtId="0" fontId="45" fillId="8" borderId="3" xfId="0" applyFont="1" applyFill="1" applyBorder="1" applyAlignment="1">
      <alignment horizontal="left" vertical="center" wrapText="1" indent="1"/>
    </xf>
    <xf numFmtId="0" fontId="45" fillId="8" borderId="4" xfId="0" applyFont="1" applyFill="1" applyBorder="1" applyAlignment="1">
      <alignment horizontal="left" vertical="center" wrapText="1" indent="1"/>
    </xf>
    <xf numFmtId="0" fontId="45" fillId="8" borderId="5" xfId="0" applyFont="1" applyFill="1" applyBorder="1" applyAlignment="1">
      <alignment horizontal="left" vertical="center" wrapText="1" indent="1"/>
    </xf>
    <xf numFmtId="0" fontId="45" fillId="8" borderId="3" xfId="0" applyFont="1" applyFill="1" applyBorder="1" applyAlignment="1">
      <alignment horizontal="left" vertical="center" indent="1"/>
    </xf>
    <xf numFmtId="0" fontId="45" fillId="8" borderId="4" xfId="0" applyFont="1" applyFill="1" applyBorder="1" applyAlignment="1">
      <alignment horizontal="left" vertical="center" indent="1"/>
    </xf>
    <xf numFmtId="0" fontId="45" fillId="8" borderId="5" xfId="0" applyFont="1" applyFill="1" applyBorder="1" applyAlignment="1">
      <alignment horizontal="left" vertical="center" indent="1"/>
    </xf>
    <xf numFmtId="0" fontId="80" fillId="0" borderId="3" xfId="0" applyFont="1" applyBorder="1" applyAlignment="1">
      <alignment horizontal="center"/>
    </xf>
    <xf numFmtId="0" fontId="80" fillId="0" borderId="4" xfId="0" applyFont="1" applyBorder="1" applyAlignment="1">
      <alignment horizontal="center"/>
    </xf>
    <xf numFmtId="0" fontId="80" fillId="0" borderId="5" xfId="0" applyFont="1" applyBorder="1" applyAlignment="1">
      <alignment horizontal="center"/>
    </xf>
    <xf numFmtId="0" fontId="89" fillId="24" borderId="14" xfId="0" applyFont="1" applyFill="1" applyBorder="1" applyAlignment="1">
      <alignment horizontal="center"/>
    </xf>
    <xf numFmtId="0" fontId="89" fillId="24" borderId="7" xfId="0" applyFont="1" applyFill="1" applyBorder="1" applyAlignment="1">
      <alignment horizontal="center"/>
    </xf>
    <xf numFmtId="0" fontId="89" fillId="24" borderId="26" xfId="0" applyFont="1" applyFill="1" applyBorder="1" applyAlignment="1">
      <alignment horizontal="center"/>
    </xf>
    <xf numFmtId="0" fontId="89" fillId="28" borderId="14" xfId="0" applyFont="1" applyFill="1" applyBorder="1" applyAlignment="1">
      <alignment horizontal="center"/>
    </xf>
    <xf numFmtId="0" fontId="89" fillId="28" borderId="7" xfId="0" applyFont="1" applyFill="1" applyBorder="1" applyAlignment="1">
      <alignment horizontal="center"/>
    </xf>
    <xf numFmtId="0" fontId="89" fillId="28" borderId="26" xfId="0" applyFont="1" applyFill="1" applyBorder="1" applyAlignment="1">
      <alignment horizontal="center"/>
    </xf>
    <xf numFmtId="0" fontId="89" fillId="25" borderId="14" xfId="0" applyFont="1" applyFill="1" applyBorder="1" applyAlignment="1">
      <alignment horizontal="center"/>
    </xf>
    <xf numFmtId="0" fontId="89" fillId="25" borderId="7" xfId="0" applyFont="1" applyFill="1" applyBorder="1" applyAlignment="1">
      <alignment horizontal="center"/>
    </xf>
    <xf numFmtId="0" fontId="89" fillId="25" borderId="26" xfId="0" applyFont="1" applyFill="1" applyBorder="1" applyAlignment="1">
      <alignment horizontal="center"/>
    </xf>
    <xf numFmtId="0" fontId="90" fillId="13" borderId="3" xfId="0" applyFont="1" applyFill="1" applyBorder="1" applyAlignment="1">
      <alignment horizontal="left" indent="2"/>
    </xf>
    <xf numFmtId="0" fontId="90" fillId="13" borderId="4" xfId="0" applyFont="1" applyFill="1" applyBorder="1" applyAlignment="1">
      <alignment horizontal="left" indent="2"/>
    </xf>
    <xf numFmtId="0" fontId="90" fillId="13" borderId="5" xfId="0" applyFont="1" applyFill="1" applyBorder="1" applyAlignment="1">
      <alignment horizontal="left" indent="2"/>
    </xf>
    <xf numFmtId="0" fontId="45" fillId="8" borderId="2" xfId="0" applyFont="1" applyFill="1" applyBorder="1" applyAlignment="1">
      <alignment horizontal="left" vertical="center" indent="2"/>
    </xf>
    <xf numFmtId="0" fontId="88" fillId="13" borderId="0" xfId="0" applyFont="1" applyFill="1" applyAlignment="1">
      <alignment horizontal="center" vertical="top"/>
    </xf>
    <xf numFmtId="0" fontId="88" fillId="13" borderId="27" xfId="0" applyFont="1" applyFill="1" applyBorder="1" applyAlignment="1">
      <alignment horizontal="center" vertical="top"/>
    </xf>
    <xf numFmtId="0" fontId="68" fillId="22" borderId="0" xfId="0" applyFont="1" applyFill="1" applyAlignment="1">
      <alignment horizontal="left" vertical="center" wrapText="1"/>
    </xf>
    <xf numFmtId="0" fontId="59" fillId="22" borderId="0" xfId="0" applyFont="1" applyFill="1" applyAlignment="1">
      <alignment horizontal="left"/>
    </xf>
    <xf numFmtId="0" fontId="61" fillId="22" borderId="0" xfId="0" applyFont="1" applyFill="1" applyAlignment="1">
      <alignment horizontal="center" vertical="center"/>
    </xf>
    <xf numFmtId="0" fontId="65" fillId="22" borderId="0" xfId="3" applyFont="1" applyFill="1" applyAlignment="1">
      <alignment horizontal="center"/>
    </xf>
    <xf numFmtId="0" fontId="66" fillId="22" borderId="0" xfId="0" applyFont="1" applyFill="1" applyAlignment="1">
      <alignment horizontal="center" vertical="center"/>
    </xf>
    <xf numFmtId="0" fontId="10" fillId="7" borderId="3" xfId="2" applyFont="1" applyFill="1" applyBorder="1" applyAlignment="1">
      <alignment horizontal="center" vertical="center" wrapText="1"/>
    </xf>
    <xf numFmtId="0" fontId="10" fillId="7" borderId="5" xfId="2" applyFont="1" applyFill="1" applyBorder="1" applyAlignment="1">
      <alignment horizontal="center" vertical="center" wrapText="1"/>
    </xf>
    <xf numFmtId="0" fontId="4" fillId="8" borderId="3" xfId="2" applyFont="1" applyFill="1" applyBorder="1" applyAlignment="1">
      <alignment horizontal="left" vertical="center" wrapText="1"/>
    </xf>
    <xf numFmtId="0" fontId="4" fillId="8" borderId="5" xfId="2" applyFont="1" applyFill="1" applyBorder="1" applyAlignment="1">
      <alignment horizontal="left" vertical="center" wrapText="1"/>
    </xf>
    <xf numFmtId="0" fontId="10" fillId="7" borderId="27" xfId="2" applyFont="1" applyFill="1" applyBorder="1" applyAlignment="1">
      <alignment horizontal="center" vertical="center" wrapText="1"/>
    </xf>
    <xf numFmtId="0" fontId="4" fillId="8" borderId="3" xfId="0" applyFont="1" applyFill="1" applyBorder="1" applyAlignment="1">
      <alignment horizontal="left" vertical="center" wrapText="1"/>
    </xf>
    <xf numFmtId="0" fontId="4" fillId="8" borderId="5" xfId="0" applyFont="1" applyFill="1" applyBorder="1" applyAlignment="1">
      <alignment horizontal="left" vertical="center" wrapText="1"/>
    </xf>
    <xf numFmtId="0" fontId="12" fillId="8" borderId="3" xfId="2" applyFont="1" applyFill="1" applyBorder="1" applyAlignment="1">
      <alignment horizontal="left" vertical="center" wrapText="1"/>
    </xf>
    <xf numFmtId="0" fontId="12" fillId="8" borderId="5" xfId="2" applyFont="1" applyFill="1" applyBorder="1" applyAlignment="1">
      <alignment horizontal="left" vertical="center" wrapText="1"/>
    </xf>
    <xf numFmtId="0" fontId="0" fillId="0" borderId="0" xfId="0" applyAlignment="1">
      <alignment vertical="center"/>
    </xf>
    <xf numFmtId="0" fontId="26" fillId="13" borderId="0" xfId="0" applyFont="1" applyFill="1" applyAlignment="1">
      <alignment horizontal="center" vertical="center"/>
    </xf>
    <xf numFmtId="0" fontId="1" fillId="0" borderId="46" xfId="0" applyFont="1" applyBorder="1" applyAlignment="1">
      <alignment vertical="center"/>
    </xf>
    <xf numFmtId="0" fontId="1" fillId="0" borderId="0" xfId="0" applyFont="1" applyAlignment="1">
      <alignment vertical="center"/>
    </xf>
    <xf numFmtId="0" fontId="1" fillId="0" borderId="0" xfId="0" applyFont="1" applyAlignment="1">
      <alignment horizontal="left" vertical="center"/>
    </xf>
    <xf numFmtId="0" fontId="0" fillId="0" borderId="10" xfId="0" applyBorder="1" applyAlignment="1">
      <alignment horizontal="left" vertical="top" wrapText="1" indent="2"/>
    </xf>
    <xf numFmtId="0" fontId="0" fillId="0" borderId="0" xfId="0" applyAlignment="1">
      <alignment horizontal="left" vertical="top" wrapText="1" indent="2"/>
    </xf>
    <xf numFmtId="0" fontId="0" fillId="0" borderId="34" xfId="0" applyBorder="1" applyAlignment="1">
      <alignment horizontal="left" vertical="top" wrapText="1" indent="2"/>
    </xf>
    <xf numFmtId="0" fontId="0" fillId="0" borderId="13" xfId="0" applyBorder="1" applyAlignment="1">
      <alignment horizontal="left" vertical="top" wrapText="1" indent="2"/>
    </xf>
    <xf numFmtId="0" fontId="0" fillId="0" borderId="27" xfId="0" applyBorder="1" applyAlignment="1">
      <alignment horizontal="left" vertical="top" wrapText="1" indent="2"/>
    </xf>
    <xf numFmtId="0" fontId="0" fillId="0" borderId="28" xfId="0" applyBorder="1" applyAlignment="1">
      <alignment horizontal="left" vertical="top" wrapText="1" indent="2"/>
    </xf>
    <xf numFmtId="0" fontId="1" fillId="13" borderId="0" xfId="0" applyFont="1" applyFill="1" applyAlignment="1">
      <alignment horizontal="center" vertical="center"/>
    </xf>
    <xf numFmtId="0" fontId="42" fillId="13" borderId="0" xfId="0" applyFont="1" applyFill="1" applyAlignment="1">
      <alignment horizontal="center" vertical="center"/>
    </xf>
    <xf numFmtId="0" fontId="36" fillId="7" borderId="2" xfId="3" applyFont="1" applyFill="1" applyBorder="1" applyAlignment="1">
      <alignment horizontal="left" vertical="center" textRotation="90" wrapText="1"/>
    </xf>
    <xf numFmtId="0" fontId="5" fillId="7" borderId="2" xfId="3" applyFont="1" applyFill="1" applyBorder="1" applyAlignment="1">
      <alignment horizontal="center" vertical="center" wrapText="1"/>
    </xf>
    <xf numFmtId="0" fontId="15" fillId="7" borderId="2" xfId="3" applyFont="1" applyFill="1" applyBorder="1" applyAlignment="1">
      <alignment horizontal="left" vertical="center" textRotation="90" wrapText="1"/>
    </xf>
    <xf numFmtId="0" fontId="21" fillId="8" borderId="30" xfId="3" applyFont="1" applyFill="1" applyBorder="1" applyAlignment="1">
      <alignment horizontal="left" vertical="center" wrapText="1"/>
    </xf>
    <xf numFmtId="0" fontId="21" fillId="8" borderId="9" xfId="3" applyFont="1" applyFill="1" applyBorder="1" applyAlignment="1">
      <alignment horizontal="left" vertical="center" wrapText="1"/>
    </xf>
    <xf numFmtId="0" fontId="21" fillId="8" borderId="12" xfId="3" applyFont="1" applyFill="1" applyBorder="1" applyAlignment="1">
      <alignment horizontal="left" vertical="center" wrapText="1"/>
    </xf>
    <xf numFmtId="0" fontId="7" fillId="8" borderId="2" xfId="3" applyFont="1" applyFill="1" applyBorder="1" applyAlignment="1">
      <alignment horizontal="left" vertical="center" wrapText="1"/>
    </xf>
    <xf numFmtId="0" fontId="8" fillId="29" borderId="30" xfId="3" applyFont="1" applyFill="1" applyBorder="1" applyAlignment="1">
      <alignment horizontal="left" vertical="center" wrapText="1"/>
    </xf>
    <xf numFmtId="0" fontId="8" fillId="29" borderId="12" xfId="3" applyFont="1" applyFill="1" applyBorder="1" applyAlignment="1">
      <alignment horizontal="left" vertical="center" wrapText="1"/>
    </xf>
    <xf numFmtId="0" fontId="7" fillId="8" borderId="1" xfId="3" applyFont="1" applyFill="1" applyBorder="1" applyAlignment="1">
      <alignment horizontal="center" vertical="center"/>
    </xf>
    <xf numFmtId="0" fontId="5" fillId="7" borderId="11" xfId="0" applyFont="1" applyFill="1" applyBorder="1" applyAlignment="1">
      <alignment horizontal="center" vertical="center" wrapText="1"/>
    </xf>
    <xf numFmtId="0" fontId="21" fillId="8" borderId="11" xfId="0" applyFont="1" applyFill="1" applyBorder="1" applyAlignment="1">
      <alignment horizontal="center" vertical="center" wrapText="1"/>
    </xf>
    <xf numFmtId="0" fontId="21" fillId="4" borderId="11"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21" fillId="8" borderId="24" xfId="0" applyFont="1" applyFill="1" applyBorder="1" applyAlignment="1">
      <alignment horizontal="center" vertical="center" wrapText="1"/>
    </xf>
    <xf numFmtId="0" fontId="21" fillId="8" borderId="25" xfId="0" applyFont="1" applyFill="1" applyBorder="1" applyAlignment="1">
      <alignment horizontal="center" vertical="center" wrapText="1"/>
    </xf>
    <xf numFmtId="0" fontId="7" fillId="8" borderId="8" xfId="0" applyFont="1" applyFill="1" applyBorder="1" applyAlignment="1">
      <alignment horizontal="center" vertical="center"/>
    </xf>
    <xf numFmtId="0" fontId="7" fillId="8" borderId="6" xfId="0" applyFont="1" applyFill="1" applyBorder="1" applyAlignment="1">
      <alignment horizontal="center" vertical="center"/>
    </xf>
    <xf numFmtId="0" fontId="7" fillId="8" borderId="1" xfId="0" applyFont="1" applyFill="1" applyBorder="1" applyAlignment="1">
      <alignment horizontal="center" vertical="center"/>
    </xf>
    <xf numFmtId="0" fontId="21" fillId="8" borderId="29" xfId="0" applyFont="1" applyFill="1" applyBorder="1" applyAlignment="1">
      <alignment horizontal="center" vertical="center" wrapText="1"/>
    </xf>
    <xf numFmtId="0" fontId="21" fillId="8" borderId="0" xfId="0" applyFont="1" applyFill="1" applyAlignment="1">
      <alignment horizontal="center" vertical="center" wrapText="1"/>
    </xf>
    <xf numFmtId="0" fontId="21" fillId="8" borderId="39" xfId="0" applyFont="1" applyFill="1" applyBorder="1" applyAlignment="1">
      <alignment horizontal="center" vertical="center" wrapText="1"/>
    </xf>
    <xf numFmtId="0" fontId="51" fillId="13" borderId="0" xfId="0" applyFont="1" applyFill="1" applyAlignment="1">
      <alignment horizontal="center" vertical="center"/>
    </xf>
    <xf numFmtId="0" fontId="8" fillId="8" borderId="2" xfId="0" applyFont="1" applyFill="1" applyBorder="1" applyAlignment="1">
      <alignment horizontal="left" vertical="center" wrapText="1"/>
    </xf>
    <xf numFmtId="0" fontId="7" fillId="8" borderId="2" xfId="0" applyFont="1" applyFill="1" applyBorder="1" applyAlignment="1">
      <alignment horizontal="left" vertical="center" wrapText="1"/>
    </xf>
    <xf numFmtId="0" fontId="8" fillId="8" borderId="30" xfId="0" applyFont="1" applyFill="1" applyBorder="1" applyAlignment="1">
      <alignment horizontal="left" vertical="center" wrapText="1"/>
    </xf>
    <xf numFmtId="0" fontId="8" fillId="8" borderId="9" xfId="0" applyFont="1" applyFill="1" applyBorder="1" applyAlignment="1">
      <alignment horizontal="left" vertical="center" wrapText="1"/>
    </xf>
    <xf numFmtId="0" fontId="8" fillId="8" borderId="12" xfId="0" applyFont="1" applyFill="1" applyBorder="1" applyAlignment="1">
      <alignment horizontal="left" vertical="center" wrapText="1"/>
    </xf>
    <xf numFmtId="0" fontId="15" fillId="7" borderId="26" xfId="0" applyFont="1" applyFill="1" applyBorder="1" applyAlignment="1">
      <alignment horizontal="center" vertical="center" textRotation="90" wrapText="1"/>
    </xf>
    <xf numFmtId="0" fontId="15" fillId="7" borderId="34" xfId="0" applyFont="1" applyFill="1" applyBorder="1" applyAlignment="1">
      <alignment horizontal="center" vertical="center" textRotation="90" wrapText="1"/>
    </xf>
    <xf numFmtId="0" fontId="15" fillId="7" borderId="28" xfId="0" applyFont="1" applyFill="1" applyBorder="1" applyAlignment="1">
      <alignment horizontal="center" vertical="center" textRotation="90" wrapText="1"/>
    </xf>
    <xf numFmtId="0" fontId="70" fillId="22" borderId="0" xfId="0" applyFont="1" applyFill="1" applyAlignment="1">
      <alignment horizontal="center" vertical="center"/>
    </xf>
    <xf numFmtId="0" fontId="24" fillId="14" borderId="40" xfId="0" applyFont="1" applyFill="1" applyBorder="1" applyAlignment="1">
      <alignment horizontal="center" vertical="center"/>
    </xf>
    <xf numFmtId="0" fontId="24" fillId="14" borderId="41" xfId="0" applyFont="1" applyFill="1" applyBorder="1" applyAlignment="1">
      <alignment horizontal="center" vertical="center"/>
    </xf>
    <xf numFmtId="0" fontId="21" fillId="8" borderId="15" xfId="0" applyFont="1" applyFill="1" applyBorder="1" applyAlignment="1">
      <alignment horizontal="center" vertical="center" wrapText="1"/>
    </xf>
    <xf numFmtId="0" fontId="21" fillId="8" borderId="36" xfId="0" applyFont="1" applyFill="1" applyBorder="1" applyAlignment="1">
      <alignment horizontal="center" vertical="center" wrapText="1"/>
    </xf>
    <xf numFmtId="0" fontId="21" fillId="8" borderId="38" xfId="0" applyFont="1" applyFill="1" applyBorder="1" applyAlignment="1">
      <alignment horizontal="center" vertical="center" wrapText="1"/>
    </xf>
    <xf numFmtId="0" fontId="15" fillId="7" borderId="3" xfId="0" applyFont="1" applyFill="1" applyBorder="1" applyAlignment="1">
      <alignment horizontal="center" vertical="center" textRotation="90" wrapText="1"/>
    </xf>
    <xf numFmtId="0" fontId="15" fillId="7" borderId="4" xfId="0" applyFont="1" applyFill="1" applyBorder="1" applyAlignment="1">
      <alignment horizontal="center" vertical="center" textRotation="90" wrapText="1"/>
    </xf>
    <xf numFmtId="0" fontId="8" fillId="8" borderId="26" xfId="0" applyFont="1" applyFill="1" applyBorder="1" applyAlignment="1">
      <alignment horizontal="left" vertical="center" wrapText="1"/>
    </xf>
    <xf numFmtId="0" fontId="8" fillId="8" borderId="28" xfId="0" applyFont="1" applyFill="1" applyBorder="1" applyAlignment="1">
      <alignment horizontal="left" vertical="center" wrapText="1"/>
    </xf>
    <xf numFmtId="0" fontId="8" fillId="8" borderId="34" xfId="0" applyFont="1" applyFill="1" applyBorder="1" applyAlignment="1">
      <alignment horizontal="left" vertical="center" wrapText="1"/>
    </xf>
    <xf numFmtId="0" fontId="5" fillId="7" borderId="15" xfId="0" applyFont="1" applyFill="1" applyBorder="1" applyAlignment="1">
      <alignment horizontal="center" vertical="center" wrapText="1"/>
    </xf>
    <xf numFmtId="0" fontId="5" fillId="7" borderId="35" xfId="0" applyFont="1" applyFill="1" applyBorder="1" applyAlignment="1">
      <alignment horizontal="center" vertical="center" wrapText="1"/>
    </xf>
    <xf numFmtId="0" fontId="21" fillId="7" borderId="15" xfId="0" applyFont="1" applyFill="1" applyBorder="1" applyAlignment="1">
      <alignment horizontal="center" vertical="center" wrapText="1"/>
    </xf>
    <xf numFmtId="0" fontId="0" fillId="0" borderId="71" xfId="0" applyBorder="1" applyAlignment="1">
      <alignment horizontal="center" vertical="center" wrapText="1"/>
    </xf>
    <xf numFmtId="1" fontId="62" fillId="19" borderId="0" xfId="0" applyNumberFormat="1" applyFont="1" applyFill="1" applyAlignment="1">
      <alignment horizontal="center" vertical="center" wrapText="1"/>
    </xf>
    <xf numFmtId="0" fontId="0" fillId="0" borderId="0" xfId="0" applyAlignment="1">
      <alignment horizontal="center" vertical="center" wrapText="1"/>
    </xf>
    <xf numFmtId="1" fontId="62" fillId="23" borderId="0" xfId="0" applyNumberFormat="1" applyFont="1" applyFill="1" applyAlignment="1">
      <alignment horizontal="center" vertical="center" wrapText="1"/>
    </xf>
    <xf numFmtId="0" fontId="0" fillId="0" borderId="39" xfId="0" applyBorder="1" applyAlignment="1">
      <alignment horizontal="center" vertical="center" wrapText="1"/>
    </xf>
    <xf numFmtId="1" fontId="62" fillId="24" borderId="15" xfId="0" applyNumberFormat="1" applyFont="1" applyFill="1" applyBorder="1" applyAlignment="1">
      <alignment horizontal="center" vertical="center" wrapText="1"/>
    </xf>
    <xf numFmtId="0" fontId="0" fillId="0" borderId="35" xfId="0" applyBorder="1" applyAlignment="1">
      <alignment horizontal="center" vertical="center" wrapText="1"/>
    </xf>
    <xf numFmtId="0" fontId="62" fillId="24" borderId="37"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38" xfId="0" applyBorder="1" applyAlignment="1">
      <alignment horizontal="center" vertical="center" wrapText="1"/>
    </xf>
    <xf numFmtId="0" fontId="62" fillId="23" borderId="15" xfId="0" applyFont="1" applyFill="1" applyBorder="1" applyAlignment="1">
      <alignment horizontal="center" vertical="center" wrapText="1"/>
    </xf>
  </cellXfs>
  <cellStyles count="6">
    <cellStyle name="Link" xfId="5" builtinId="8"/>
    <cellStyle name="Normal" xfId="0" builtinId="0"/>
    <cellStyle name="Normal 2" xfId="1" xr:uid="{00000000-0005-0000-0000-000002000000}"/>
    <cellStyle name="Procent" xfId="4" builtinId="5"/>
    <cellStyle name="Standard 2" xfId="2" xr:uid="{00000000-0005-0000-0000-000004000000}"/>
    <cellStyle name="Standard 2 2" xfId="3" xr:uid="{00000000-0005-0000-0000-000005000000}"/>
  </cellStyles>
  <dxfs count="324">
    <dxf>
      <fill>
        <patternFill>
          <bgColor theme="0" tint="-0.14996795556505021"/>
        </patternFill>
      </fill>
    </dxf>
    <dxf>
      <font>
        <color theme="5"/>
      </font>
    </dxf>
    <dxf>
      <font>
        <color theme="5"/>
      </font>
    </dxf>
    <dxf>
      <font>
        <color theme="2"/>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FF00"/>
      </font>
    </dxf>
    <dxf>
      <font>
        <color rgb="FFFFC000"/>
      </font>
    </dxf>
    <dxf>
      <font>
        <color rgb="FFFFC000"/>
      </font>
    </dxf>
    <dxf>
      <font>
        <color rgb="FFFFC000"/>
      </font>
    </dxf>
    <dxf>
      <font>
        <color rgb="FFFFC000"/>
      </font>
    </dxf>
    <dxf>
      <font>
        <color rgb="FFFFC000"/>
      </font>
    </dxf>
    <dxf>
      <font>
        <color rgb="FFFFC000"/>
      </font>
    </dxf>
    <dxf>
      <font>
        <color rgb="FFFFC000"/>
      </font>
    </dxf>
    <dxf>
      <font>
        <color rgb="FFFFC000"/>
      </font>
    </dxf>
    <dxf>
      <font>
        <color rgb="FFFFC000"/>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2"/>
      </font>
    </dxf>
    <dxf>
      <font>
        <color theme="2"/>
      </font>
    </dxf>
    <dxf>
      <font>
        <color theme="2"/>
      </font>
    </dxf>
    <dxf>
      <font>
        <color theme="2"/>
      </font>
    </dxf>
    <dxf>
      <font>
        <color theme="2"/>
      </font>
    </dxf>
    <dxf>
      <font>
        <color theme="2"/>
      </font>
    </dxf>
    <dxf>
      <font>
        <color theme="2"/>
      </font>
    </dxf>
    <dxf>
      <font>
        <color theme="2"/>
      </font>
    </dxf>
    <dxf>
      <font>
        <color theme="2"/>
      </font>
    </dxf>
    <dxf>
      <fill>
        <patternFill patternType="darkVertical">
          <fgColor rgb="FFFFFF00"/>
          <bgColor rgb="FF92D050"/>
        </patternFill>
      </fill>
    </dxf>
    <dxf>
      <fill>
        <patternFill>
          <bgColor rgb="FF92D050"/>
        </patternFill>
      </fill>
    </dxf>
    <dxf>
      <fill>
        <patternFill patternType="none">
          <bgColor auto="1"/>
        </patternFill>
      </fill>
    </dxf>
    <dxf>
      <fill>
        <patternFill>
          <bgColor rgb="FFFF0000"/>
        </patternFill>
      </fill>
    </dxf>
    <dxf>
      <fill>
        <patternFill patternType="darkVertical">
          <fgColor rgb="FFFF9900"/>
          <bgColor rgb="FFFF0000"/>
        </patternFill>
      </fill>
    </dxf>
    <dxf>
      <fill>
        <patternFill>
          <bgColor rgb="FFFFC000"/>
        </patternFill>
      </fill>
    </dxf>
    <dxf>
      <fill>
        <patternFill patternType="darkVertical">
          <fgColor rgb="FFFFC000"/>
          <bgColor rgb="FFFFFF00"/>
        </patternFill>
      </fill>
    </dxf>
    <dxf>
      <fill>
        <patternFill>
          <bgColor rgb="FFFFFF00"/>
        </patternFill>
      </fill>
    </dxf>
    <dxf>
      <fill>
        <patternFill>
          <bgColor rgb="FFFF0000"/>
        </patternFill>
      </fill>
    </dxf>
    <dxf>
      <fill>
        <patternFill>
          <bgColor rgb="FFFFC000"/>
        </patternFill>
      </fill>
    </dxf>
    <dxf>
      <fill>
        <patternFill patternType="none">
          <bgColor auto="1"/>
        </patternFill>
      </fill>
    </dxf>
    <dxf>
      <fill>
        <patternFill patternType="darkVertical">
          <fgColor rgb="FFFF9900"/>
          <bgColor rgb="FFFF0000"/>
        </patternFill>
      </fill>
    </dxf>
    <dxf>
      <fill>
        <patternFill patternType="darkVertical">
          <fgColor rgb="FFFFC000"/>
          <bgColor rgb="FFFFFF00"/>
        </patternFill>
      </fill>
    </dxf>
    <dxf>
      <fill>
        <patternFill>
          <bgColor rgb="FFFFFF00"/>
        </patternFill>
      </fill>
    </dxf>
    <dxf>
      <fill>
        <patternFill patternType="darkVertical">
          <fgColor rgb="FFFFFF00"/>
          <bgColor rgb="FF92D050"/>
        </patternFill>
      </fill>
    </dxf>
    <dxf>
      <fill>
        <patternFill>
          <bgColor rgb="FF92D050"/>
        </patternFill>
      </fill>
    </dxf>
    <dxf>
      <fill>
        <patternFill patternType="darkVertical">
          <fgColor rgb="FFFF9900"/>
          <bgColor rgb="FFFF0000"/>
        </patternFill>
      </fill>
    </dxf>
    <dxf>
      <fill>
        <patternFill>
          <bgColor rgb="FF92D050"/>
        </patternFill>
      </fill>
    </dxf>
    <dxf>
      <fill>
        <patternFill patternType="darkVertical">
          <fgColor rgb="FFFFC000"/>
          <bgColor rgb="FFFFFF00"/>
        </patternFill>
      </fill>
    </dxf>
    <dxf>
      <fill>
        <patternFill>
          <bgColor rgb="FFFF0000"/>
        </patternFill>
      </fill>
    </dxf>
    <dxf>
      <fill>
        <patternFill>
          <bgColor theme="2"/>
        </patternFill>
      </fill>
    </dxf>
    <dxf>
      <fill>
        <patternFill>
          <bgColor rgb="FFFFFF00"/>
        </patternFill>
      </fill>
    </dxf>
    <dxf>
      <fill>
        <patternFill>
          <bgColor rgb="FFFFC000"/>
        </patternFill>
      </fill>
    </dxf>
    <dxf>
      <fill>
        <patternFill>
          <bgColor theme="0"/>
        </patternFill>
      </fill>
    </dxf>
    <dxf>
      <fill>
        <patternFill patternType="darkVertical">
          <fgColor rgb="FFFFFF00"/>
          <bgColor rgb="FF92D050"/>
        </patternFill>
      </fill>
    </dxf>
    <dxf>
      <fill>
        <patternFill patternType="darkVertical">
          <fgColor rgb="FFFF9900"/>
          <bgColor rgb="FFFF0000"/>
        </patternFill>
      </fill>
    </dxf>
    <dxf>
      <fill>
        <patternFill>
          <bgColor rgb="FFFF0000"/>
        </patternFill>
      </fill>
    </dxf>
    <dxf>
      <fill>
        <patternFill patternType="none">
          <bgColor auto="1"/>
        </patternFill>
      </fill>
    </dxf>
    <dxf>
      <fill>
        <patternFill patternType="darkVertical">
          <fgColor rgb="FFFFFF00"/>
          <bgColor rgb="FF92D050"/>
        </patternFill>
      </fill>
    </dxf>
    <dxf>
      <fill>
        <patternFill>
          <bgColor rgb="FF92D050"/>
        </patternFill>
      </fill>
    </dxf>
    <dxf>
      <fill>
        <patternFill>
          <bgColor rgb="FFFFFF00"/>
        </patternFill>
      </fill>
    </dxf>
    <dxf>
      <fill>
        <patternFill patternType="darkVertical">
          <fgColor rgb="FFFFC000"/>
          <bgColor rgb="FFFFFF00"/>
        </patternFill>
      </fill>
    </dxf>
    <dxf>
      <fill>
        <patternFill>
          <bgColor rgb="FFFFC000"/>
        </patternFill>
      </fill>
    </dxf>
    <dxf>
      <fill>
        <patternFill>
          <bgColor rgb="FFFF0000"/>
        </patternFill>
      </fill>
    </dxf>
    <dxf>
      <fill>
        <patternFill patternType="darkVertical">
          <fgColor rgb="FFFF9900"/>
          <bgColor rgb="FFFF0000"/>
        </patternFill>
      </fill>
    </dxf>
    <dxf>
      <fill>
        <patternFill>
          <bgColor rgb="FFFFFF00"/>
        </patternFill>
      </fill>
    </dxf>
    <dxf>
      <fill>
        <patternFill>
          <bgColor rgb="FF92D050"/>
        </patternFill>
      </fill>
    </dxf>
    <dxf>
      <fill>
        <patternFill patternType="darkVertical">
          <fgColor rgb="FFFFC000"/>
          <bgColor rgb="FFFFFF00"/>
        </patternFill>
      </fill>
    </dxf>
    <dxf>
      <fill>
        <patternFill patternType="none">
          <bgColor auto="1"/>
        </patternFill>
      </fill>
    </dxf>
    <dxf>
      <fill>
        <patternFill>
          <bgColor rgb="FFFFC000"/>
        </patternFill>
      </fill>
    </dxf>
    <dxf>
      <fill>
        <patternFill patternType="darkVertical">
          <fgColor rgb="FFFFFF00"/>
          <bgColor rgb="FF92D050"/>
        </patternFill>
      </fill>
    </dxf>
    <dxf>
      <fill>
        <patternFill>
          <bgColor rgb="FF92D050"/>
        </patternFill>
      </fill>
    </dxf>
    <dxf>
      <fill>
        <patternFill>
          <bgColor rgb="FFFF0000"/>
        </patternFill>
      </fill>
    </dxf>
    <dxf>
      <fill>
        <patternFill>
          <bgColor theme="0"/>
        </patternFill>
      </fill>
    </dxf>
    <dxf>
      <fill>
        <patternFill>
          <bgColor rgb="FFFFFF00"/>
        </patternFill>
      </fill>
    </dxf>
    <dxf>
      <fill>
        <patternFill>
          <bgColor theme="2"/>
        </patternFill>
      </fill>
    </dxf>
    <dxf>
      <fill>
        <patternFill patternType="darkVertical">
          <fgColor rgb="FFFF9900"/>
          <bgColor rgb="FFFF0000"/>
        </patternFill>
      </fill>
    </dxf>
    <dxf>
      <fill>
        <patternFill>
          <bgColor rgb="FFFFC000"/>
        </patternFill>
      </fill>
    </dxf>
    <dxf>
      <fill>
        <patternFill patternType="darkVertical">
          <fgColor rgb="FFFFC000"/>
          <bgColor rgb="FFFFFF00"/>
        </patternFill>
      </fill>
    </dxf>
    <dxf>
      <fill>
        <patternFill patternType="darkVertical">
          <fgColor rgb="FFFFFF00"/>
          <bgColor rgb="FF92D050"/>
        </patternFill>
      </fill>
    </dxf>
    <dxf>
      <font>
        <color theme="3"/>
      </font>
    </dxf>
    <dxf>
      <fill>
        <patternFill patternType="darkVertical">
          <fgColor rgb="FFFF9900"/>
          <bgColor rgb="FFFF0000"/>
        </patternFill>
      </fill>
    </dxf>
    <dxf>
      <fill>
        <patternFill patternType="darkVertical">
          <fgColor rgb="FFFFFF00"/>
          <bgColor rgb="FF92D050"/>
        </patternFill>
      </fill>
    </dxf>
    <dxf>
      <fill>
        <patternFill>
          <bgColor rgb="FFFF0000"/>
        </patternFill>
      </fill>
    </dxf>
    <dxf>
      <fill>
        <patternFill>
          <bgColor theme="0"/>
        </patternFill>
      </fill>
    </dxf>
    <dxf>
      <fill>
        <patternFill>
          <bgColor rgb="FFFFFF00"/>
        </patternFill>
      </fill>
    </dxf>
    <dxf>
      <fill>
        <patternFill patternType="darkVertical">
          <fgColor rgb="FFFFC000"/>
          <bgColor rgb="FFFFFF00"/>
        </patternFill>
      </fill>
    </dxf>
    <dxf>
      <fill>
        <patternFill>
          <bgColor rgb="FF92D050"/>
        </patternFill>
      </fill>
    </dxf>
    <dxf>
      <fill>
        <patternFill>
          <bgColor rgb="FFFFC000"/>
        </patternFill>
      </fill>
    </dxf>
    <dxf>
      <fill>
        <patternFill>
          <bgColor rgb="FFFFFF00"/>
        </patternFill>
      </fill>
    </dxf>
    <dxf>
      <fill>
        <patternFill patternType="darkVertical">
          <fgColor rgb="FFFFC000"/>
          <bgColor rgb="FFFFFF00"/>
        </patternFill>
      </fill>
    </dxf>
    <dxf>
      <fill>
        <patternFill>
          <bgColor rgb="FFFFC000"/>
        </patternFill>
      </fill>
    </dxf>
    <dxf>
      <fill>
        <patternFill patternType="darkVertical">
          <fgColor rgb="FFFF9900"/>
          <bgColor rgb="FFFF0000"/>
        </patternFill>
      </fill>
    </dxf>
    <dxf>
      <fill>
        <patternFill>
          <bgColor rgb="FFFF0000"/>
        </patternFill>
      </fill>
    </dxf>
    <dxf>
      <fill>
        <patternFill>
          <bgColor theme="0"/>
        </patternFill>
      </fill>
    </dxf>
    <dxf>
      <fill>
        <patternFill>
          <bgColor rgb="FF92D050"/>
        </patternFill>
      </fill>
    </dxf>
    <dxf>
      <fill>
        <patternFill patternType="darkVertical">
          <fgColor rgb="FFFFFF00"/>
          <bgColor rgb="FF92D050"/>
        </patternFill>
      </fill>
    </dxf>
    <dxf>
      <fill>
        <patternFill>
          <bgColor rgb="FFFFC000"/>
        </patternFill>
      </fill>
    </dxf>
    <dxf>
      <fill>
        <patternFill>
          <bgColor rgb="FFFF0000"/>
        </patternFill>
      </fill>
    </dxf>
    <dxf>
      <fill>
        <patternFill patternType="darkVertical">
          <fgColor rgb="FFFFC000"/>
          <bgColor rgb="FFFFFF00"/>
        </patternFill>
      </fill>
    </dxf>
    <dxf>
      <fill>
        <patternFill>
          <bgColor rgb="FF92D050"/>
        </patternFill>
      </fill>
    </dxf>
    <dxf>
      <fill>
        <patternFill patternType="darkVertical">
          <fgColor rgb="FFFFFF00"/>
          <bgColor rgb="FF92D050"/>
        </patternFill>
      </fill>
    </dxf>
    <dxf>
      <fill>
        <patternFill>
          <bgColor rgb="FFFFFF00"/>
        </patternFill>
      </fill>
    </dxf>
    <dxf>
      <fill>
        <patternFill patternType="darkVertical">
          <fgColor rgb="FFFF9900"/>
          <bgColor rgb="FFFF0000"/>
        </patternFill>
      </fill>
    </dxf>
    <dxf>
      <fill>
        <patternFill>
          <bgColor theme="0"/>
        </patternFill>
      </fill>
    </dxf>
    <dxf>
      <fill>
        <patternFill>
          <bgColor rgb="FF92D050"/>
        </patternFill>
      </fill>
    </dxf>
    <dxf>
      <fill>
        <patternFill>
          <bgColor rgb="FFFFC000"/>
        </patternFill>
      </fill>
    </dxf>
    <dxf>
      <fill>
        <patternFill>
          <bgColor rgb="FFFFFF00"/>
        </patternFill>
      </fill>
    </dxf>
    <dxf>
      <fill>
        <patternFill>
          <bgColor theme="0"/>
        </patternFill>
      </fill>
    </dxf>
    <dxf>
      <fill>
        <patternFill>
          <bgColor rgb="FFFF0000"/>
        </patternFill>
      </fill>
    </dxf>
    <dxf>
      <fill>
        <patternFill>
          <bgColor theme="2"/>
        </patternFill>
      </fill>
    </dxf>
    <dxf>
      <fill>
        <patternFill>
          <bgColor rgb="FFFFC000"/>
        </patternFill>
      </fill>
    </dxf>
    <dxf>
      <fill>
        <patternFill>
          <bgColor rgb="FFFFFF00"/>
        </patternFill>
      </fill>
    </dxf>
    <dxf>
      <fill>
        <patternFill>
          <bgColor theme="0"/>
        </patternFill>
      </fill>
    </dxf>
    <dxf>
      <fill>
        <patternFill>
          <bgColor rgb="FF92D050"/>
        </patternFill>
      </fill>
    </dxf>
    <dxf>
      <fill>
        <patternFill>
          <bgColor rgb="FFFF0000"/>
        </patternFill>
      </fill>
    </dxf>
    <dxf>
      <fill>
        <patternFill>
          <bgColor theme="2"/>
        </patternFill>
      </fill>
    </dxf>
    <dxf>
      <fill>
        <patternFill>
          <bgColor theme="0" tint="-4.9989318521683403E-2"/>
        </patternFill>
      </fill>
      <border>
        <vertical/>
        <horizontal/>
      </border>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0"/>
        </patternFill>
      </fill>
    </dxf>
    <dxf>
      <fill>
        <patternFill>
          <bgColor theme="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theme="2"/>
        </patternFill>
      </fill>
    </dxf>
    <dxf>
      <fill>
        <patternFill>
          <bgColor rgb="FFFFFF00"/>
        </patternFill>
      </fill>
    </dxf>
    <dxf>
      <fill>
        <patternFill>
          <bgColor theme="0"/>
        </patternFill>
      </fill>
    </dxf>
    <dxf>
      <fill>
        <patternFill>
          <bgColor theme="2"/>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theme="2"/>
        </patternFill>
      </fill>
    </dxf>
    <dxf>
      <fill>
        <patternFill>
          <bgColor rgb="FFFF0000"/>
        </patternFill>
      </fill>
    </dxf>
    <dxf>
      <fill>
        <patternFill>
          <bgColor theme="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2"/>
        </patternFill>
      </fill>
    </dxf>
    <dxf>
      <fill>
        <patternFill>
          <bgColor rgb="FFFFC000"/>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2"/>
        </patternFill>
      </fill>
    </dxf>
    <dxf>
      <fill>
        <patternFill>
          <bgColor rgb="FF92D050"/>
        </patternFill>
      </fill>
    </dxf>
    <dxf>
      <fill>
        <patternFill>
          <bgColor rgb="FF92D050"/>
        </patternFill>
      </fill>
    </dxf>
    <dxf>
      <fill>
        <patternFill>
          <bgColor theme="2"/>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darkVertical">
          <fgColor rgb="FFFF0000"/>
          <bgColor rgb="FFFF9900"/>
        </patternFill>
      </fill>
    </dxf>
    <dxf>
      <font>
        <color auto="1"/>
      </font>
      <fill>
        <patternFill>
          <bgColor rgb="FFFF0000"/>
        </patternFill>
      </fill>
    </dxf>
    <dxf>
      <fill>
        <patternFill patternType="none">
          <bgColor auto="1"/>
        </patternFill>
      </fill>
    </dxf>
    <dxf>
      <fill>
        <patternFill>
          <bgColor rgb="FF92D050"/>
        </patternFill>
      </fill>
    </dxf>
    <dxf>
      <fill>
        <patternFill>
          <bgColor rgb="FFFFC000"/>
        </patternFill>
      </fill>
    </dxf>
    <dxf>
      <fill>
        <patternFill patternType="darkVertical">
          <fgColor rgb="FFFFC000"/>
          <bgColor rgb="FFFFFF00"/>
        </patternFill>
      </fill>
    </dxf>
    <dxf>
      <fill>
        <patternFill>
          <bgColor rgb="FFFFFF00"/>
        </patternFill>
      </fill>
    </dxf>
    <dxf>
      <fill>
        <patternFill patternType="darkVertical">
          <fgColor rgb="FFFFFF00"/>
          <bgColor rgb="FF92D050"/>
        </patternFill>
      </fill>
    </dxf>
    <dxf>
      <fill>
        <patternFill>
          <bgColor rgb="FF92D050"/>
        </patternFill>
      </fill>
    </dxf>
    <dxf>
      <fill>
        <patternFill>
          <bgColor theme="2"/>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theme="2"/>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patternFill>
      </fill>
    </dxf>
    <dxf>
      <fill>
        <patternFill>
          <bgColor theme="2"/>
        </patternFill>
      </fill>
    </dxf>
    <dxf>
      <fill>
        <patternFill>
          <bgColor theme="2"/>
        </patternFill>
      </fill>
    </dxf>
    <dxf>
      <fill>
        <patternFill>
          <bgColor theme="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2"/>
        </patternFill>
      </fill>
    </dxf>
    <dxf>
      <fill>
        <patternFill>
          <bgColor rgb="FFFFFF00"/>
        </patternFill>
      </fill>
    </dxf>
    <dxf>
      <fill>
        <patternFill>
          <bgColor theme="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patternFill>
      </fill>
    </dxf>
    <dxf>
      <fill>
        <patternFill>
          <bgColor theme="2"/>
        </patternFill>
      </fill>
    </dxf>
    <dxf>
      <fill>
        <patternFill>
          <bgColor theme="1"/>
        </patternFill>
      </fill>
    </dxf>
    <dxf>
      <fill>
        <patternFill>
          <bgColor theme="1"/>
        </patternFill>
      </fill>
    </dxf>
    <dxf>
      <fill>
        <patternFill>
          <bgColor theme="1"/>
        </patternFill>
      </fill>
    </dxf>
    <dxf>
      <font>
        <strike val="0"/>
        <color theme="0"/>
      </font>
    </dxf>
    <dxf>
      <font>
        <color theme="3"/>
      </font>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FF00"/>
        </patternFill>
      </fill>
    </dxf>
    <dxf>
      <fill>
        <patternFill>
          <bgColor rgb="FFFFC0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theme="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patternFill>
      </fill>
    </dxf>
    <dxf>
      <font>
        <color theme="3"/>
      </font>
    </dxf>
    <dxf>
      <fill>
        <patternFill patternType="none">
          <bgColor auto="1"/>
        </patternFill>
      </fill>
    </dxf>
    <dxf>
      <fill>
        <patternFill>
          <bgColor rgb="FFFFFF00"/>
        </patternFill>
      </fill>
    </dxf>
    <dxf>
      <fill>
        <patternFill>
          <bgColor rgb="FF92D050"/>
        </patternFill>
      </fill>
    </dxf>
    <dxf>
      <fill>
        <patternFill patternType="none">
          <bgColor auto="1"/>
        </patternFill>
      </fill>
    </dxf>
    <dxf>
      <fill>
        <patternFill>
          <bgColor rgb="FF92D050"/>
        </patternFill>
      </fill>
    </dxf>
    <dxf>
      <fill>
        <patternFill>
          <bgColor rgb="FFFFFF00"/>
        </patternFill>
      </fill>
    </dxf>
    <dxf>
      <fill>
        <patternFill>
          <bgColor rgb="FFFFC000"/>
        </patternFill>
      </fill>
    </dxf>
    <dxf>
      <font>
        <color auto="1"/>
      </font>
      <fill>
        <patternFill>
          <bgColor rgb="FFFF0000"/>
        </patternFill>
      </fill>
    </dxf>
    <dxf>
      <fill>
        <patternFill>
          <bgColor rgb="FFFFFF00"/>
        </patternFill>
      </fill>
    </dxf>
    <dxf>
      <fill>
        <patternFill patternType="none">
          <bgColor auto="1"/>
        </patternFill>
      </fill>
    </dxf>
    <dxf>
      <fill>
        <patternFill>
          <bgColor rgb="FF92D050"/>
        </patternFill>
      </fill>
    </dxf>
    <dxf>
      <fill>
        <patternFill patternType="none">
          <bgColor auto="1"/>
        </patternFill>
      </fill>
    </dxf>
    <dxf>
      <fill>
        <patternFill>
          <bgColor rgb="FFFFFF00"/>
        </patternFill>
      </fill>
    </dxf>
    <dxf>
      <font>
        <color auto="1"/>
      </font>
      <fill>
        <patternFill>
          <bgColor rgb="FFFF0000"/>
        </patternFill>
      </fill>
    </dxf>
    <dxf>
      <fill>
        <patternFill>
          <bgColor rgb="FFFFC000"/>
        </patternFill>
      </fill>
    </dxf>
    <dxf>
      <fill>
        <patternFill>
          <bgColor rgb="FF92D050"/>
        </patternFill>
      </fill>
    </dxf>
    <dxf>
      <fill>
        <patternFill>
          <bgColor theme="0"/>
        </patternFill>
      </fill>
    </dxf>
    <dxf>
      <fill>
        <patternFill>
          <bgColor rgb="FFFFC000"/>
        </patternFill>
      </fill>
    </dxf>
    <dxf>
      <fill>
        <patternFill>
          <bgColor rgb="FFFFC000"/>
        </patternFill>
      </fill>
    </dxf>
    <dxf>
      <font>
        <color theme="3"/>
      </font>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0"/>
        </patternFill>
      </fill>
    </dxf>
    <dxf>
      <fill>
        <patternFill>
          <bgColor rgb="FFFF0000"/>
        </patternFill>
      </fill>
    </dxf>
    <dxf>
      <fill>
        <patternFill>
          <bgColor rgb="FFFFC000"/>
        </patternFill>
      </fill>
    </dxf>
    <dxf>
      <fill>
        <patternFill patternType="darkVertical">
          <fgColor rgb="FFFF0000"/>
          <bgColor rgb="FFFF9900"/>
        </patternFill>
      </fill>
    </dxf>
    <dxf>
      <fill>
        <patternFill>
          <bgColor rgb="FFFF0000"/>
        </patternFill>
      </fill>
    </dxf>
    <dxf>
      <fill>
        <patternFill>
          <bgColor theme="0"/>
        </patternFill>
      </fill>
    </dxf>
    <dxf>
      <fill>
        <patternFill>
          <bgColor theme="2"/>
        </patternFill>
      </fill>
    </dxf>
    <dxf>
      <fill>
        <patternFill>
          <bgColor rgb="FF92D050"/>
        </patternFill>
      </fill>
    </dxf>
    <dxf>
      <fill>
        <patternFill>
          <bgColor rgb="FFFFC000"/>
        </patternFill>
      </fill>
    </dxf>
    <dxf>
      <fill>
        <patternFill patternType="darkVertical">
          <fgColor rgb="FFFFC000"/>
          <bgColor rgb="FFFFFF00"/>
        </patternFill>
      </fill>
    </dxf>
    <dxf>
      <fill>
        <patternFill>
          <bgColor rgb="FFFFFF00"/>
        </patternFill>
      </fill>
    </dxf>
    <dxf>
      <fill>
        <patternFill patternType="darkVertical">
          <fgColor rgb="FF92D050"/>
          <bgColor rgb="FFFFFF00"/>
        </patternFill>
      </fill>
    </dxf>
    <dxf>
      <fill>
        <patternFill>
          <bgColor rgb="FFFFC000"/>
        </patternFill>
      </fill>
    </dxf>
    <dxf>
      <fill>
        <patternFill patternType="darkVertical">
          <fgColor rgb="FFFFC000"/>
          <bgColor rgb="FFFFFF00"/>
        </patternFill>
      </fill>
    </dxf>
    <dxf>
      <fill>
        <patternFill>
          <bgColor rgb="FF92D050"/>
        </patternFill>
      </fill>
    </dxf>
    <dxf>
      <fill>
        <patternFill patternType="darkVertical">
          <fgColor rgb="FF92D050"/>
          <bgColor rgb="FFFFFF00"/>
        </patternFill>
      </fill>
    </dxf>
    <dxf>
      <fill>
        <patternFill>
          <bgColor rgb="FFFFFF00"/>
        </patternFill>
      </fill>
    </dxf>
    <dxf>
      <fill>
        <patternFill patternType="darkVertical">
          <fgColor rgb="FFFF0000"/>
          <bgColor rgb="FFFF9900"/>
        </patternFill>
      </fill>
    </dxf>
    <dxf>
      <fill>
        <patternFill>
          <bgColor rgb="FFFF0000"/>
        </patternFill>
      </fill>
    </dxf>
    <dxf>
      <fill>
        <patternFill>
          <bgColor theme="0"/>
        </patternFill>
      </fill>
    </dxf>
    <dxf>
      <fill>
        <patternFill>
          <bgColor theme="2"/>
        </patternFill>
      </fill>
    </dxf>
    <dxf>
      <fill>
        <patternFill patternType="darkVertical">
          <fgColor rgb="FFFF0000"/>
          <bgColor rgb="FFFF9900"/>
        </patternFill>
      </fill>
    </dxf>
    <dxf>
      <fill>
        <patternFill>
          <bgColor rgb="FFFF0000"/>
        </patternFill>
      </fill>
    </dxf>
    <dxf>
      <fill>
        <patternFill>
          <bgColor theme="0"/>
        </patternFill>
      </fill>
    </dxf>
    <dxf>
      <fill>
        <patternFill patternType="darkVertical">
          <fgColor rgb="FFFFC000"/>
          <bgColor rgb="FFFFFF00"/>
        </patternFill>
      </fill>
    </dxf>
    <dxf>
      <fill>
        <patternFill>
          <bgColor rgb="FFFFFF00"/>
        </patternFill>
      </fill>
    </dxf>
    <dxf>
      <fill>
        <patternFill>
          <bgColor rgb="FFFFC000"/>
        </patternFill>
      </fill>
    </dxf>
    <dxf>
      <fill>
        <patternFill>
          <bgColor rgb="FF92D050"/>
        </patternFill>
      </fill>
    </dxf>
    <dxf>
      <fill>
        <patternFill patternType="darkVertical">
          <fgColor rgb="FF92D050"/>
          <bgColor rgb="FFFFFF00"/>
        </patternFill>
      </fill>
    </dxf>
    <dxf>
      <fill>
        <patternFill>
          <bgColor theme="2"/>
        </patternFill>
      </fill>
    </dxf>
    <dxf>
      <fill>
        <patternFill>
          <bgColor theme="1"/>
        </patternFill>
      </fill>
    </dxf>
    <dxf>
      <font>
        <strike val="0"/>
        <color theme="0"/>
      </font>
    </dxf>
    <dxf>
      <fill>
        <patternFill>
          <bgColor theme="1"/>
        </patternFill>
      </fill>
    </dxf>
    <dxf>
      <fill>
        <patternFill>
          <bgColor theme="1"/>
        </patternFill>
      </fill>
    </dxf>
    <dxf>
      <font>
        <strike val="0"/>
        <color theme="0"/>
      </font>
    </dxf>
    <dxf>
      <fill>
        <patternFill>
          <bgColor theme="1"/>
        </patternFill>
      </fill>
    </dxf>
    <dxf>
      <font>
        <strike val="0"/>
        <color theme="0"/>
      </font>
    </dxf>
    <dxf>
      <fill>
        <patternFill>
          <bgColor theme="1"/>
        </patternFill>
      </fill>
    </dxf>
  </dxfs>
  <tableStyles count="0" defaultTableStyle="TableStyleMedium2" defaultPivotStyle="PivotStyleLight16"/>
  <colors>
    <mruColors>
      <color rgb="FF94BEE4"/>
      <color rgb="FFFF0000"/>
      <color rgb="FFFFC000"/>
      <color rgb="FFFF9900"/>
      <color rgb="FF92D050"/>
      <color rgb="FFFFFF00"/>
      <color rgb="FFD08BA0"/>
      <color rgb="FFA21942"/>
      <color rgb="FFED7D31"/>
      <color rgb="FFFF86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270744073912742E-2"/>
          <c:y val="3.1468984354343726E-2"/>
          <c:w val="0.9457488089868562"/>
          <c:h val="0.93421157759278683"/>
        </c:manualLayout>
      </c:layout>
      <c:barChart>
        <c:barDir val="bar"/>
        <c:grouping val="clustered"/>
        <c:varyColors val="0"/>
        <c:ser>
          <c:idx val="2"/>
          <c:order val="1"/>
          <c:tx>
            <c:v>Dimensions</c:v>
          </c:tx>
          <c:spPr>
            <a:noFill/>
            <a:ln>
              <a:noFill/>
            </a:ln>
            <a:effectLst/>
          </c:spPr>
          <c:invertIfNegative val="0"/>
          <c:cat>
            <c:strRef>
              <c:f>'Diagram Data'!$T$3:$T$5</c:f>
              <c:strCache>
                <c:ptCount val="3"/>
                <c:pt idx="0">
                  <c:v>Enabling environment</c:v>
                </c:pt>
                <c:pt idx="1">
                  <c:v>Demand side</c:v>
                </c:pt>
                <c:pt idx="2">
                  <c:v>Supply Side</c:v>
                </c:pt>
              </c:strCache>
            </c:strRef>
          </c:cat>
          <c:val>
            <c:numRef>
              <c:f>'Diagram Data'!$U$3:$U$5</c:f>
              <c:numCache>
                <c:formatCode>General</c:formatCode>
                <c:ptCount val="3"/>
                <c:pt idx="0">
                  <c:v>1</c:v>
                </c:pt>
                <c:pt idx="1">
                  <c:v>1.4</c:v>
                </c:pt>
                <c:pt idx="2">
                  <c:v>1.2</c:v>
                </c:pt>
              </c:numCache>
            </c:numRef>
          </c:val>
          <c:extLst>
            <c:ext xmlns:c16="http://schemas.microsoft.com/office/drawing/2014/chart" uri="{C3380CC4-5D6E-409C-BE32-E72D297353CC}">
              <c16:uniqueId val="{00000000-F033-4764-95B3-826FABC8E621}"/>
            </c:ext>
          </c:extLst>
        </c:ser>
        <c:dLbls>
          <c:showLegendKey val="0"/>
          <c:showVal val="0"/>
          <c:showCatName val="0"/>
          <c:showSerName val="0"/>
          <c:showPercent val="0"/>
          <c:showBubbleSize val="0"/>
        </c:dLbls>
        <c:gapWidth val="150"/>
        <c:axId val="-1343079472"/>
        <c:axId val="-1344106688"/>
      </c:barChart>
      <c:scatterChart>
        <c:scatterStyle val="lineMarker"/>
        <c:varyColors val="0"/>
        <c:ser>
          <c:idx val="1"/>
          <c:order val="0"/>
          <c:tx>
            <c:v>Indicators</c:v>
          </c:tx>
          <c:spPr>
            <a:ln w="25400" cap="rnd">
              <a:noFill/>
              <a:round/>
            </a:ln>
            <a:effectLst/>
          </c:spPr>
          <c:marker>
            <c:symbol val="circle"/>
            <c:size val="5"/>
            <c:spPr>
              <a:solidFill>
                <a:schemeClr val="tx2"/>
              </a:solidFill>
              <a:ln w="9525">
                <a:solidFill>
                  <a:schemeClr val="tx2"/>
                </a:solidFill>
              </a:ln>
              <a:effectLst/>
            </c:spPr>
          </c:marker>
          <c:dLbls>
            <c:dLbl>
              <c:idx val="0"/>
              <c:tx>
                <c:rich>
                  <a:bodyPr/>
                  <a:lstStyle/>
                  <a:p>
                    <a:fld id="{43C30C7F-B2CB-425F-B2A9-EAD091B1E629}"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3B9-B944-91AC-7235DE2CBD61}"/>
                </c:ext>
              </c:extLst>
            </c:dLbl>
            <c:dLbl>
              <c:idx val="1"/>
              <c:tx>
                <c:rich>
                  <a:bodyPr/>
                  <a:lstStyle/>
                  <a:p>
                    <a:fld id="{E3201DC0-B769-4FC4-82ED-E754AA924C93}"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D17-4E56-8932-888C579240D5}"/>
                </c:ext>
              </c:extLst>
            </c:dLbl>
            <c:dLbl>
              <c:idx val="2"/>
              <c:tx>
                <c:rich>
                  <a:bodyPr/>
                  <a:lstStyle/>
                  <a:p>
                    <a:fld id="{08F0E3C4-BE64-41DB-858D-AB1D26D5C99A}"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3B9-B944-91AC-7235DE2CBD61}"/>
                </c:ext>
              </c:extLst>
            </c:dLbl>
            <c:dLbl>
              <c:idx val="3"/>
              <c:tx>
                <c:rich>
                  <a:bodyPr/>
                  <a:lstStyle/>
                  <a:p>
                    <a:fld id="{8E451CD7-C371-42D0-8374-F627BCED8570}"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3B9-B944-91AC-7235DE2CBD61}"/>
                </c:ext>
              </c:extLst>
            </c:dLbl>
            <c:dLbl>
              <c:idx val="4"/>
              <c:tx>
                <c:rich>
                  <a:bodyPr/>
                  <a:lstStyle/>
                  <a:p>
                    <a:fld id="{E3E613CF-10C1-471A-8297-001FACC0AD35}"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D17-4E56-8932-888C579240D5}"/>
                </c:ext>
              </c:extLst>
            </c:dLbl>
            <c:dLbl>
              <c:idx val="5"/>
              <c:tx>
                <c:rich>
                  <a:bodyPr/>
                  <a:lstStyle/>
                  <a:p>
                    <a:fld id="{7E0FC94A-C6FA-4EC9-9BBA-CF753526B9B8}"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D17-4E56-8932-888C579240D5}"/>
                </c:ext>
              </c:extLst>
            </c:dLbl>
            <c:dLbl>
              <c:idx val="6"/>
              <c:tx>
                <c:rich>
                  <a:bodyPr/>
                  <a:lstStyle/>
                  <a:p>
                    <a:fld id="{2022D5C0-6600-4D2D-9110-A652007A046B}"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D17-4E56-8932-888C579240D5}"/>
                </c:ext>
              </c:extLst>
            </c:dLbl>
            <c:dLbl>
              <c:idx val="7"/>
              <c:tx>
                <c:rich>
                  <a:bodyPr/>
                  <a:lstStyle/>
                  <a:p>
                    <a:fld id="{2C2AB6A0-1EC9-4754-918D-18C5AE0291B5}"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D17-4E56-8932-888C579240D5}"/>
                </c:ext>
              </c:extLst>
            </c:dLbl>
            <c:dLbl>
              <c:idx val="8"/>
              <c:tx>
                <c:rich>
                  <a:bodyPr/>
                  <a:lstStyle/>
                  <a:p>
                    <a:fld id="{CB63AEB9-4793-48C2-B233-D77F09DE341B}"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3B9-B944-91AC-7235DE2CBD61}"/>
                </c:ext>
              </c:extLst>
            </c:dLbl>
            <c:dLbl>
              <c:idx val="9"/>
              <c:tx>
                <c:rich>
                  <a:bodyPr/>
                  <a:lstStyle/>
                  <a:p>
                    <a:fld id="{C419F2CD-BF60-407C-9590-77B6CAD916E6}"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D17-4E56-8932-888C579240D5}"/>
                </c:ext>
              </c:extLst>
            </c:dLbl>
            <c:dLbl>
              <c:idx val="10"/>
              <c:tx>
                <c:rich>
                  <a:bodyPr/>
                  <a:lstStyle/>
                  <a:p>
                    <a:fld id="{B2681798-722B-4A53-81B4-59A27606D8C1}"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D17-4E56-8932-888C579240D5}"/>
                </c:ext>
              </c:extLst>
            </c:dLbl>
            <c:dLbl>
              <c:idx val="11"/>
              <c:tx>
                <c:rich>
                  <a:bodyPr/>
                  <a:lstStyle/>
                  <a:p>
                    <a:fld id="{87670528-BB52-4AB8-A3B1-C84BCC6737F6}"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D17-4E56-8932-888C579240D5}"/>
                </c:ext>
              </c:extLst>
            </c:dLbl>
            <c:dLbl>
              <c:idx val="12"/>
              <c:tx>
                <c:rich>
                  <a:bodyPr/>
                  <a:lstStyle/>
                  <a:p>
                    <a:fld id="{EDF2B7EB-5BCE-4FF0-9FEC-309A33A858B7}"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D17-4E56-8932-888C579240D5}"/>
                </c:ext>
              </c:extLst>
            </c:dLbl>
            <c:dLbl>
              <c:idx val="13"/>
              <c:tx>
                <c:rich>
                  <a:bodyPr/>
                  <a:lstStyle/>
                  <a:p>
                    <a:fld id="{5EB85B49-693B-42D1-8BC1-5005599E4B5D}"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D17-4E56-8932-888C579240D5}"/>
                </c:ext>
              </c:extLst>
            </c:dLbl>
            <c:dLbl>
              <c:idx val="14"/>
              <c:tx>
                <c:rich>
                  <a:bodyPr/>
                  <a:lstStyle/>
                  <a:p>
                    <a:fld id="{E51401A4-B3FB-4909-913C-3CFB08E95530}"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D17-4E56-8932-888C579240D5}"/>
                </c:ext>
              </c:extLst>
            </c:dLbl>
            <c:dLbl>
              <c:idx val="15"/>
              <c:tx>
                <c:rich>
                  <a:bodyPr/>
                  <a:lstStyle/>
                  <a:p>
                    <a:fld id="{5F3AB3E8-42B8-4740-AC64-5CEA1DAF9DA9}"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D17-4E56-8932-888C579240D5}"/>
                </c:ext>
              </c:extLst>
            </c:dLbl>
            <c:dLbl>
              <c:idx val="16"/>
              <c:tx>
                <c:rich>
                  <a:bodyPr/>
                  <a:lstStyle/>
                  <a:p>
                    <a:fld id="{BFBA8660-7931-4E8C-B117-FF861B3F6D08}"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D17-4E56-8932-888C579240D5}"/>
                </c:ext>
              </c:extLst>
            </c:dLbl>
            <c:dLbl>
              <c:idx val="17"/>
              <c:tx>
                <c:rich>
                  <a:bodyPr/>
                  <a:lstStyle/>
                  <a:p>
                    <a:fld id="{88CA9035-7134-46FC-9DCF-4A1DC0B3B85C}" type="CELLRANGE">
                      <a:rPr lang="da-DK"/>
                      <a:pPr/>
                      <a:t>[CELLEOMRÅDE]</a:t>
                    </a:fld>
                    <a:endParaRPr lang="da-D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D17-4E56-8932-888C579240D5}"/>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'Diagram Data'!$M$3:$M$20</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xVal>
          <c:yVal>
            <c:numRef>
              <c:f>'Diagram Data'!$N$3:$N$20</c:f>
              <c:numCache>
                <c:formatCode>General</c:formatCode>
                <c:ptCount val="18"/>
                <c:pt idx="0">
                  <c:v>1.7</c:v>
                </c:pt>
                <c:pt idx="1">
                  <c:v>2.2000000000000002</c:v>
                </c:pt>
                <c:pt idx="2">
                  <c:v>2.7</c:v>
                </c:pt>
                <c:pt idx="3">
                  <c:v>3.2</c:v>
                </c:pt>
                <c:pt idx="4">
                  <c:v>3.7</c:v>
                </c:pt>
                <c:pt idx="5">
                  <c:v>4.5</c:v>
                </c:pt>
                <c:pt idx="6">
                  <c:v>5</c:v>
                </c:pt>
                <c:pt idx="7">
                  <c:v>5.5</c:v>
                </c:pt>
                <c:pt idx="8">
                  <c:v>6</c:v>
                </c:pt>
                <c:pt idx="9">
                  <c:v>6.5</c:v>
                </c:pt>
                <c:pt idx="10">
                  <c:v>7</c:v>
                </c:pt>
                <c:pt idx="11">
                  <c:v>7.5</c:v>
                </c:pt>
                <c:pt idx="12">
                  <c:v>8.3000000000000007</c:v>
                </c:pt>
                <c:pt idx="13">
                  <c:v>8.8000000000000007</c:v>
                </c:pt>
                <c:pt idx="14">
                  <c:v>9.3000000000000007</c:v>
                </c:pt>
                <c:pt idx="15">
                  <c:v>9.8000000000000007</c:v>
                </c:pt>
                <c:pt idx="16">
                  <c:v>10.3</c:v>
                </c:pt>
                <c:pt idx="17">
                  <c:v>10.8</c:v>
                </c:pt>
              </c:numCache>
            </c:numRef>
          </c:yVal>
          <c:smooth val="0"/>
          <c:extLst>
            <c:ext xmlns:c15="http://schemas.microsoft.com/office/drawing/2012/chart" uri="{02D57815-91ED-43cb-92C2-25804820EDAC}">
              <c15:datalabelsRange>
                <c15:f>'Diagram Data'!$C$3:$C$20</c15:f>
                <c15:dlblRangeCache>
                  <c:ptCount val="18"/>
                  <c:pt idx="0">
                    <c:v>Expertise development</c:v>
                  </c:pt>
                  <c:pt idx="1">
                    <c:v>Market information</c:v>
                  </c:pt>
                  <c:pt idx="2">
                    <c:v>Quality standards</c:v>
                  </c:pt>
                  <c:pt idx="3">
                    <c:v>Access to finance</c:v>
                  </c:pt>
                  <c:pt idx="4">
                    <c:v>Policy</c:v>
                  </c:pt>
                  <c:pt idx="5">
                    <c:v>Productive use</c:v>
                  </c:pt>
                  <c:pt idx="6">
                    <c:v>Consumer awareness</c:v>
                  </c:pt>
                  <c:pt idx="7">
                    <c:v>Replacement + repair</c:v>
                  </c:pt>
                  <c:pt idx="8">
                    <c:v>Systems in use</c:v>
                  </c:pt>
                  <c:pt idx="9">
                    <c:v>Willingness to pay</c:v>
                  </c:pt>
                  <c:pt idx="10">
                    <c:v>Market penetration</c:v>
                  </c:pt>
                  <c:pt idx="11">
                    <c:v>Product diversity</c:v>
                  </c:pt>
                  <c:pt idx="12">
                    <c:v>Entrepreneurial skills</c:v>
                  </c:pt>
                  <c:pt idx="13">
                    <c:v>Warranties</c:v>
                  </c:pt>
                  <c:pt idx="14">
                    <c:v>Supply chain</c:v>
                  </c:pt>
                  <c:pt idx="15">
                    <c:v>Prices, costs, profits</c:v>
                  </c:pt>
                  <c:pt idx="16">
                    <c:v>Sales Volume</c:v>
                  </c:pt>
                  <c:pt idx="17">
                    <c:v>Suppliers</c:v>
                  </c:pt>
                </c15:dlblRangeCache>
              </c15:datalabelsRange>
            </c:ext>
            <c:ext xmlns:c16="http://schemas.microsoft.com/office/drawing/2014/chart" uri="{C3380CC4-5D6E-409C-BE32-E72D297353CC}">
              <c16:uniqueId val="{00000014-F033-4764-95B3-826FABC8E621}"/>
            </c:ext>
          </c:extLst>
        </c:ser>
        <c:dLbls>
          <c:showLegendKey val="0"/>
          <c:showVal val="0"/>
          <c:showCatName val="0"/>
          <c:showSerName val="0"/>
          <c:showPercent val="0"/>
          <c:showBubbleSize val="0"/>
        </c:dLbls>
        <c:axId val="-1344103424"/>
        <c:axId val="-1344102336"/>
      </c:scatterChart>
      <c:valAx>
        <c:axId val="-1344103424"/>
        <c:scaling>
          <c:orientation val="minMax"/>
          <c:max val="16"/>
          <c:min val="0"/>
        </c:scaling>
        <c:delete val="1"/>
        <c:axPos val="b"/>
        <c:majorGridlines>
          <c:spPr>
            <a:ln w="9525" cap="flat" cmpd="sng" algn="ctr">
              <a:noFill/>
              <a:round/>
            </a:ln>
            <a:effectLst/>
          </c:spPr>
        </c:majorGridlines>
        <c:numFmt formatCode="General" sourceLinked="1"/>
        <c:majorTickMark val="none"/>
        <c:minorTickMark val="none"/>
        <c:tickLblPos val="nextTo"/>
        <c:crossAx val="-1344102336"/>
        <c:crosses val="autoZero"/>
        <c:crossBetween val="midCat"/>
        <c:majorUnit val="1"/>
        <c:minorUnit val="0.1"/>
      </c:valAx>
      <c:valAx>
        <c:axId val="-1344102336"/>
        <c:scaling>
          <c:orientation val="minMax"/>
          <c:max val="11"/>
          <c:min val="1"/>
        </c:scaling>
        <c:delete val="1"/>
        <c:axPos val="l"/>
        <c:majorGridlines>
          <c:spPr>
            <a:ln w="9525" cap="flat" cmpd="sng" algn="ctr">
              <a:noFill/>
              <a:round/>
            </a:ln>
            <a:effectLst/>
          </c:spPr>
        </c:majorGridlines>
        <c:numFmt formatCode="General" sourceLinked="1"/>
        <c:majorTickMark val="in"/>
        <c:minorTickMark val="in"/>
        <c:tickLblPos val="low"/>
        <c:crossAx val="-1344103424"/>
        <c:crossesAt val="0"/>
        <c:crossBetween val="midCat"/>
        <c:majorUnit val="1"/>
        <c:minorUnit val="0.1"/>
      </c:valAx>
      <c:valAx>
        <c:axId val="-1344106688"/>
        <c:scaling>
          <c:orientation val="minMax"/>
        </c:scaling>
        <c:delete val="1"/>
        <c:axPos val="b"/>
        <c:numFmt formatCode="General" sourceLinked="1"/>
        <c:majorTickMark val="none"/>
        <c:minorTickMark val="none"/>
        <c:tickLblPos val="none"/>
        <c:crossAx val="-1343079472"/>
        <c:crosses val="autoZero"/>
        <c:crossBetween val="between"/>
      </c:valAx>
      <c:catAx>
        <c:axId val="-1343079472"/>
        <c:scaling>
          <c:orientation val="minMax"/>
        </c:scaling>
        <c:delete val="0"/>
        <c:axPos val="r"/>
        <c:numFmt formatCode="General" sourceLinked="1"/>
        <c:majorTickMark val="none"/>
        <c:minorTickMark val="none"/>
        <c:tickLblPos val="low"/>
        <c:spPr>
          <a:noFill/>
          <a:ln w="9525" cap="flat" cmpd="sng" algn="ctr">
            <a:noFill/>
            <a:round/>
          </a:ln>
          <a:effectLst/>
        </c:spPr>
        <c:txPr>
          <a:bodyPr rot="-5400000" spcFirstLastPara="1" vertOverflow="ellipsis" wrap="square" anchor="ctr" anchorCtr="0"/>
          <a:lstStyle/>
          <a:p>
            <a:pPr>
              <a:defRPr sz="1400" b="1" i="0" u="none" strike="noStrike" kern="1200" baseline="0">
                <a:solidFill>
                  <a:schemeClr val="tx2"/>
                </a:solidFill>
                <a:latin typeface="+mn-lt"/>
                <a:ea typeface="+mn-ea"/>
                <a:cs typeface="+mn-cs"/>
              </a:defRPr>
            </a:pPr>
            <a:endParaRPr lang="en-US"/>
          </a:p>
        </c:txPr>
        <c:crossAx val="-1344106688"/>
        <c:crosses val="max"/>
        <c:auto val="1"/>
        <c:lblAlgn val="ctr"/>
        <c:lblOffset val="5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48562618431279E-2"/>
          <c:y val="5.2287076255757486E-2"/>
          <c:w val="0.92685143738156872"/>
          <c:h val="0.89612721846500842"/>
        </c:manualLayout>
      </c:layout>
      <c:bubbleChart>
        <c:varyColors val="0"/>
        <c:ser>
          <c:idx val="2"/>
          <c:order val="0"/>
          <c:spPr>
            <a:solidFill>
              <a:schemeClr val="accent3"/>
            </a:solidFill>
            <a:ln w="25400">
              <a:noFill/>
            </a:ln>
            <a:effectLst/>
          </c:spPr>
          <c:invertIfNegative val="0"/>
          <c:xVal>
            <c:numRef>
              <c:f>#REF!</c:f>
            </c:numRef>
          </c:xVal>
          <c:yVal>
            <c:numRef>
              <c:f>#REF!</c:f>
              <c:numCache>
                <c:formatCode>General</c:formatCode>
                <c:ptCount val="1"/>
                <c:pt idx="0">
                  <c:v>1</c:v>
                </c:pt>
              </c:numCache>
            </c:numRef>
          </c:yVal>
          <c:bubbleSize>
            <c:numRef>
              <c:f>#REF!</c:f>
              <c:numCache>
                <c:formatCode>General</c:formatCode>
                <c:ptCount val="1"/>
                <c:pt idx="0">
                  <c:v>1</c:v>
                </c:pt>
              </c:numCache>
            </c:numRef>
          </c:bubbleSize>
          <c:bubble3D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1-7583-4972-8B35-D3F783E77510}"/>
            </c:ext>
          </c:extLst>
        </c:ser>
        <c:ser>
          <c:idx val="1"/>
          <c:order val="1"/>
          <c:spPr>
            <a:solidFill>
              <a:schemeClr val="accent2"/>
            </a:solidFill>
            <a:ln w="25400">
              <a:noFill/>
            </a:ln>
            <a:effectLst/>
          </c:spPr>
          <c:invertIfNegative val="0"/>
          <c:xVal>
            <c:numRef>
              <c:f>#REF!</c:f>
            </c:numRef>
          </c:xVal>
          <c:yVal>
            <c:numRef>
              <c:f>#REF!</c:f>
              <c:numCache>
                <c:formatCode>General</c:formatCode>
                <c:ptCount val="1"/>
                <c:pt idx="0">
                  <c:v>1</c:v>
                </c:pt>
              </c:numCache>
            </c:numRef>
          </c:yVal>
          <c:bubbleSize>
            <c:numRef>
              <c:f>#REF!</c:f>
              <c:numCache>
                <c:formatCode>General</c:formatCode>
                <c:ptCount val="1"/>
                <c:pt idx="0">
                  <c:v>1</c:v>
                </c:pt>
              </c:numCache>
            </c:numRef>
          </c:bubbleSize>
          <c:bubble3D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0-D0C4-1B46-98AB-C75A8B26066A}"/>
            </c:ext>
          </c:extLst>
        </c:ser>
        <c:ser>
          <c:idx val="0"/>
          <c:order val="2"/>
          <c:spPr>
            <a:solidFill>
              <a:schemeClr val="accent1"/>
            </a:solidFill>
            <a:ln w="25400">
              <a:noFill/>
            </a:ln>
            <a:effectLst/>
          </c:spPr>
          <c:invertIfNegative val="0"/>
          <c:xVal>
            <c:numRef>
              <c:f>#REF!</c:f>
            </c:numRef>
          </c:xVal>
          <c:yVal>
            <c:numRef>
              <c:f>#REF!</c:f>
              <c:numCache>
                <c:formatCode>General</c:formatCode>
                <c:ptCount val="1"/>
                <c:pt idx="0">
                  <c:v>1</c:v>
                </c:pt>
              </c:numCache>
            </c:numRef>
          </c:yVal>
          <c:bubbleSize>
            <c:numRef>
              <c:f>#REF!</c:f>
              <c:numCache>
                <c:formatCode>General</c:formatCode>
                <c:ptCount val="1"/>
                <c:pt idx="0">
                  <c:v>1</c:v>
                </c:pt>
              </c:numCache>
            </c:numRef>
          </c:bubbleSize>
          <c:bubble3D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0-7583-4972-8B35-D3F783E77510}"/>
            </c:ext>
          </c:extLst>
        </c:ser>
        <c:dLbls>
          <c:showLegendKey val="0"/>
          <c:showVal val="0"/>
          <c:showCatName val="0"/>
          <c:showSerName val="0"/>
          <c:showPercent val="0"/>
          <c:showBubbleSize val="0"/>
        </c:dLbls>
        <c:bubbleScale val="40"/>
        <c:showNegBubbles val="0"/>
        <c:axId val="-1343088720"/>
        <c:axId val="-1031551792"/>
      </c:bubbleChart>
      <c:valAx>
        <c:axId val="-1343088720"/>
        <c:scaling>
          <c:orientation val="minMax"/>
          <c:max val="7"/>
          <c:min val="0"/>
        </c:scaling>
        <c:delete val="1"/>
        <c:axPos val="b"/>
        <c:numFmt formatCode="General" sourceLinked="1"/>
        <c:majorTickMark val="out"/>
        <c:minorTickMark val="none"/>
        <c:tickLblPos val="nextTo"/>
        <c:crossAx val="-1031551792"/>
        <c:crosses val="autoZero"/>
        <c:crossBetween val="midCat"/>
      </c:valAx>
      <c:valAx>
        <c:axId val="-1031551792"/>
        <c:scaling>
          <c:orientation val="minMax"/>
          <c:max val="11.5"/>
          <c:min val="0"/>
        </c:scaling>
        <c:delete val="1"/>
        <c:axPos val="l"/>
        <c:numFmt formatCode="General" sourceLinked="1"/>
        <c:majorTickMark val="out"/>
        <c:minorTickMark val="none"/>
        <c:tickLblPos val="nextTo"/>
        <c:crossAx val="-1343088720"/>
        <c:crosses val="autoZero"/>
        <c:crossBetween val="midCat"/>
      </c:valAx>
      <c:spPr>
        <a:noFill/>
        <a:ln w="25400">
          <a:noFill/>
        </a:ln>
        <a:effectLst/>
      </c:spPr>
    </c:plotArea>
    <c:legend>
      <c:legendPos val="r"/>
      <c:layout>
        <c:manualLayout>
          <c:xMode val="edge"/>
          <c:yMode val="edge"/>
          <c:x val="0.86008740527565319"/>
          <c:y val="6.2423756117153117E-2"/>
          <c:w val="5.8952098876772975E-2"/>
          <c:h val="0.16255363908549827"/>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54740563642904E-2"/>
          <c:y val="4.7855815858953682E-2"/>
          <c:w val="0.90704525943635705"/>
          <c:h val="0.93421157759278683"/>
        </c:manualLayout>
      </c:layout>
      <c:barChart>
        <c:barDir val="bar"/>
        <c:grouping val="clustered"/>
        <c:varyColors val="0"/>
        <c:ser>
          <c:idx val="2"/>
          <c:order val="0"/>
          <c:tx>
            <c:v>Names Indicators Supply Side</c:v>
          </c:tx>
          <c:spPr>
            <a:solidFill>
              <a:schemeClr val="accent3">
                <a:alpha val="75000"/>
              </a:schemeClr>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EE7-4C49-B7B7-70233B7A29D0}"/>
            </c:ext>
          </c:extLst>
        </c:ser>
        <c:dLbls>
          <c:showLegendKey val="0"/>
          <c:showVal val="0"/>
          <c:showCatName val="0"/>
          <c:showSerName val="0"/>
          <c:showPercent val="0"/>
          <c:showBubbleSize val="0"/>
        </c:dLbls>
        <c:gapWidth val="150"/>
        <c:axId val="-965277760"/>
        <c:axId val="-859378672"/>
      </c:barChart>
      <c:scatterChart>
        <c:scatterStyle val="lineMarker"/>
        <c:varyColors val="0"/>
        <c:ser>
          <c:idx val="3"/>
          <c:order val="1"/>
          <c:tx>
            <c:strRef>
              <c:f>#REF!</c:f>
              <c:strCache>
                <c:ptCount val="1"/>
                <c:pt idx="0">
                  <c:v>#REF!</c:v>
                </c:pt>
              </c:strCache>
            </c:strRef>
          </c:tx>
          <c:spPr>
            <a:ln w="25400" cap="rnd">
              <a:noFill/>
              <a:round/>
            </a:ln>
            <a:effectLst/>
          </c:spPr>
          <c:marker>
            <c:symbol val="circle"/>
            <c:size val="5"/>
            <c:spPr>
              <a:solidFill>
                <a:srgbClr val="000066"/>
              </a:solidFill>
              <a:ln w="50800">
                <a:solidFill>
                  <a:schemeClr val="accent3"/>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2-BEE7-4C49-B7B7-70233B7A29D0}"/>
            </c:ext>
          </c:extLst>
        </c:ser>
        <c:ser>
          <c:idx val="0"/>
          <c:order val="2"/>
          <c:tx>
            <c:strRef>
              <c:f>#REF!</c:f>
              <c:strCache>
                <c:ptCount val="1"/>
                <c:pt idx="0">
                  <c:v>#REF!</c:v>
                </c:pt>
              </c:strCache>
            </c:strRef>
          </c:tx>
          <c:spPr>
            <a:ln w="25400" cap="rnd">
              <a:noFill/>
              <a:round/>
            </a:ln>
            <a:effectLst/>
          </c:spPr>
          <c:marker>
            <c:symbol val="circle"/>
            <c:size val="5"/>
            <c:spPr>
              <a:solidFill>
                <a:schemeClr val="accent2"/>
              </a:solidFill>
              <a:ln w="50800">
                <a:solidFill>
                  <a:schemeClr val="accent2"/>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0-99C4-D144-95DC-F38C092A4C19}"/>
            </c:ext>
          </c:extLst>
        </c:ser>
        <c:ser>
          <c:idx val="1"/>
          <c:order val="3"/>
          <c:tx>
            <c:strRef>
              <c:f>#REF!</c:f>
              <c:strCache>
                <c:ptCount val="1"/>
                <c:pt idx="0">
                  <c:v>#REF!</c:v>
                </c:pt>
              </c:strCache>
            </c:strRef>
          </c:tx>
          <c:spPr>
            <a:ln w="25400" cap="rnd">
              <a:noFill/>
              <a:round/>
            </a:ln>
            <a:effectLst/>
          </c:spPr>
          <c:marker>
            <c:symbol val="circle"/>
            <c:size val="5"/>
            <c:spPr>
              <a:solidFill>
                <a:srgbClr val="A21942"/>
              </a:solidFill>
              <a:ln w="50800">
                <a:solidFill>
                  <a:srgbClr val="A21942"/>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1-BEE7-4C49-B7B7-70233B7A29D0}"/>
            </c:ext>
          </c:extLst>
        </c:ser>
        <c:dLbls>
          <c:showLegendKey val="0"/>
          <c:showVal val="0"/>
          <c:showCatName val="0"/>
          <c:showSerName val="0"/>
          <c:showPercent val="0"/>
          <c:showBubbleSize val="0"/>
        </c:dLbls>
        <c:axId val="-1031539280"/>
        <c:axId val="-1106726832"/>
      </c:scatterChart>
      <c:valAx>
        <c:axId val="-1031539280"/>
        <c:scaling>
          <c:orientation val="minMax"/>
        </c:scaling>
        <c:delete val="1"/>
        <c:axPos val="b"/>
        <c:majorGridlines>
          <c:spPr>
            <a:ln w="9525" cap="flat" cmpd="sng" algn="ctr">
              <a:noFill/>
              <a:round/>
            </a:ln>
            <a:effectLst/>
          </c:spPr>
        </c:majorGridlines>
        <c:numFmt formatCode="General" sourceLinked="1"/>
        <c:majorTickMark val="out"/>
        <c:minorTickMark val="none"/>
        <c:tickLblPos val="nextTo"/>
        <c:crossAx val="-1106726832"/>
        <c:crosses val="autoZero"/>
        <c:crossBetween val="midCat"/>
        <c:majorUnit val="1"/>
        <c:minorUnit val="0.1"/>
      </c:valAx>
      <c:valAx>
        <c:axId val="-1106726832"/>
        <c:scaling>
          <c:orientation val="minMax"/>
        </c:scaling>
        <c:delete val="1"/>
        <c:axPos val="l"/>
        <c:majorGridlines>
          <c:spPr>
            <a:ln w="9525" cap="flat" cmpd="sng" algn="ctr">
              <a:noFill/>
              <a:round/>
            </a:ln>
            <a:effectLst/>
          </c:spPr>
        </c:majorGridlines>
        <c:numFmt formatCode="General" sourceLinked="1"/>
        <c:majorTickMark val="out"/>
        <c:minorTickMark val="none"/>
        <c:tickLblPos val="nextTo"/>
        <c:crossAx val="-1031539280"/>
        <c:crossesAt val="0"/>
        <c:crossBetween val="midCat"/>
        <c:majorUnit val="1"/>
        <c:minorUnit val="0.1"/>
      </c:valAx>
      <c:valAx>
        <c:axId val="-859378672"/>
        <c:scaling>
          <c:orientation val="minMax"/>
        </c:scaling>
        <c:delete val="1"/>
        <c:axPos val="b"/>
        <c:numFmt formatCode="General" sourceLinked="1"/>
        <c:majorTickMark val="none"/>
        <c:minorTickMark val="none"/>
        <c:tickLblPos val="none"/>
        <c:crossAx val="-965277760"/>
        <c:crosses val="max"/>
        <c:crossBetween val="between"/>
      </c:valAx>
      <c:catAx>
        <c:axId val="-965277760"/>
        <c:scaling>
          <c:orientation val="maxMin"/>
        </c:scaling>
        <c:delete val="0"/>
        <c:axPos val="r"/>
        <c:numFmt formatCode="General" sourceLinked="1"/>
        <c:majorTickMark val="none"/>
        <c:minorTickMark val="none"/>
        <c:tickLblPos val="low"/>
        <c:spPr>
          <a:noFill/>
          <a:ln w="9525" cap="flat" cmpd="sng" algn="ctr">
            <a:noFill/>
            <a:round/>
          </a:ln>
          <a:effectLst/>
        </c:spPr>
        <c:txPr>
          <a:bodyPr rot="-900000" spcFirstLastPara="1" vertOverflow="ellipsis" wrap="square" anchor="b" anchorCtr="0"/>
          <a:lstStyle/>
          <a:p>
            <a:pPr>
              <a:defRPr sz="1000" b="0" i="0" u="none" strike="noStrike" kern="1200" baseline="0">
                <a:solidFill>
                  <a:schemeClr val="tx1">
                    <a:lumMod val="65000"/>
                    <a:lumOff val="35000"/>
                  </a:schemeClr>
                </a:solidFill>
                <a:latin typeface="+mn-lt"/>
                <a:ea typeface="+mn-ea"/>
                <a:cs typeface="+mn-cs"/>
              </a:defRPr>
            </a:pPr>
            <a:endParaRPr lang="en-US"/>
          </a:p>
        </c:txPr>
        <c:crossAx val="-859378672"/>
        <c:crosses val="max"/>
        <c:auto val="1"/>
        <c:lblAlgn val="ctr"/>
        <c:lblOffset val="100"/>
        <c:noMultiLvlLbl val="0"/>
      </c:catAx>
      <c:spPr>
        <a:blipFill>
          <a:blip xmlns:r="http://schemas.openxmlformats.org/officeDocument/2006/relationships" r:embed="rId3">
            <a:alphaModFix amt="60000"/>
          </a:blip>
          <a:stretch>
            <a:fillRect/>
          </a:stretch>
        </a:blipFill>
        <a:ln>
          <a:noFill/>
        </a:ln>
        <a:effectLst/>
      </c:spPr>
    </c:plotArea>
    <c:plotVisOnly val="1"/>
    <c:dispBlanksAs val="gap"/>
    <c:showDLblsOverMax val="0"/>
  </c:chart>
  <c:spPr>
    <a:noFill/>
    <a:ln w="9525" cap="flat" cmpd="sng" algn="ctr">
      <a:solidFill>
        <a:schemeClr val="bg1">
          <a:alpha val="25000"/>
        </a:schemeClr>
      </a:solidFill>
      <a:round/>
    </a:ln>
    <a:effectLst/>
  </c:spPr>
  <c:txPr>
    <a:bodyPr/>
    <a:lstStyle/>
    <a:p>
      <a:pPr>
        <a:defRPr/>
      </a:pPr>
      <a:endParaRPr lang="en-US"/>
    </a:p>
  </c:txPr>
  <c:printSettings>
    <c:headerFooter/>
    <c:pageMargins b="0.75" l="0.7" r="0.7" t="0.75" header="0.3" footer="0.3"/>
    <c:pageSetup orientation="portrait"/>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00336378400975"/>
          <c:y val="3.5072259203960697E-2"/>
          <c:w val="0.8345887933075431"/>
          <c:h val="0.93421157759278683"/>
        </c:manualLayout>
      </c:layout>
      <c:barChart>
        <c:barDir val="bar"/>
        <c:grouping val="clustered"/>
        <c:varyColors val="0"/>
        <c:ser>
          <c:idx val="2"/>
          <c:order val="0"/>
          <c:tx>
            <c:v>Names Indicators Demand Side</c:v>
          </c:tx>
          <c:spPr>
            <a:solidFill>
              <a:schemeClr val="accent3">
                <a:alpha val="75000"/>
              </a:schemeClr>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A1D-4D1E-AE2F-22896122D676}"/>
            </c:ext>
          </c:extLst>
        </c:ser>
        <c:dLbls>
          <c:showLegendKey val="0"/>
          <c:showVal val="0"/>
          <c:showCatName val="0"/>
          <c:showSerName val="0"/>
          <c:showPercent val="0"/>
          <c:showBubbleSize val="0"/>
        </c:dLbls>
        <c:gapWidth val="150"/>
        <c:axId val="-835912720"/>
        <c:axId val="-835924688"/>
      </c:barChart>
      <c:scatterChart>
        <c:scatterStyle val="lineMarker"/>
        <c:varyColors val="0"/>
        <c:ser>
          <c:idx val="3"/>
          <c:order val="1"/>
          <c:tx>
            <c:strRef>
              <c:f>#REF!</c:f>
              <c:strCache>
                <c:ptCount val="1"/>
                <c:pt idx="0">
                  <c:v>#REF!</c:v>
                </c:pt>
              </c:strCache>
            </c:strRef>
          </c:tx>
          <c:spPr>
            <a:ln w="25400" cap="rnd">
              <a:noFill/>
              <a:round/>
            </a:ln>
            <a:effectLst/>
          </c:spPr>
          <c:marker>
            <c:symbol val="circle"/>
            <c:size val="5"/>
            <c:spPr>
              <a:solidFill>
                <a:srgbClr val="000066"/>
              </a:solidFill>
              <a:ln w="50800">
                <a:solidFill>
                  <a:schemeClr val="accent3"/>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2-9A1D-4D1E-AE2F-22896122D676}"/>
            </c:ext>
          </c:extLst>
        </c:ser>
        <c:ser>
          <c:idx val="0"/>
          <c:order val="2"/>
          <c:tx>
            <c:strRef>
              <c:f>#REF!</c:f>
              <c:strCache>
                <c:ptCount val="1"/>
                <c:pt idx="0">
                  <c:v>#REF!</c:v>
                </c:pt>
              </c:strCache>
            </c:strRef>
          </c:tx>
          <c:spPr>
            <a:ln w="25400" cap="rnd">
              <a:noFill/>
              <a:round/>
            </a:ln>
            <a:effectLst/>
          </c:spPr>
          <c:marker>
            <c:symbol val="circle"/>
            <c:size val="5"/>
            <c:spPr>
              <a:solidFill>
                <a:schemeClr val="accent2"/>
              </a:solidFill>
              <a:ln w="50800">
                <a:solidFill>
                  <a:schemeClr val="accent2"/>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0-F19F-C548-B7D2-99F6572F236A}"/>
            </c:ext>
          </c:extLst>
        </c:ser>
        <c:ser>
          <c:idx val="1"/>
          <c:order val="3"/>
          <c:tx>
            <c:strRef>
              <c:f>#REF!</c:f>
              <c:strCache>
                <c:ptCount val="1"/>
                <c:pt idx="0">
                  <c:v>#REF!</c:v>
                </c:pt>
              </c:strCache>
            </c:strRef>
          </c:tx>
          <c:spPr>
            <a:ln w="25400" cap="rnd">
              <a:noFill/>
              <a:round/>
            </a:ln>
            <a:effectLst/>
          </c:spPr>
          <c:marker>
            <c:symbol val="circle"/>
            <c:size val="5"/>
            <c:spPr>
              <a:solidFill>
                <a:srgbClr val="A21942"/>
              </a:solidFill>
              <a:ln w="50800">
                <a:solidFill>
                  <a:srgbClr val="A21942"/>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1-9A1D-4D1E-AE2F-22896122D676}"/>
            </c:ext>
          </c:extLst>
        </c:ser>
        <c:dLbls>
          <c:showLegendKey val="0"/>
          <c:showVal val="0"/>
          <c:showCatName val="0"/>
          <c:showSerName val="0"/>
          <c:showPercent val="0"/>
          <c:showBubbleSize val="0"/>
        </c:dLbls>
        <c:axId val="-835915440"/>
        <c:axId val="-835921968"/>
      </c:scatterChart>
      <c:valAx>
        <c:axId val="-835915440"/>
        <c:scaling>
          <c:orientation val="minMax"/>
          <c:max val="11"/>
          <c:min val="0"/>
        </c:scaling>
        <c:delete val="1"/>
        <c:axPos val="b"/>
        <c:majorGridlines>
          <c:spPr>
            <a:ln w="9525" cap="flat" cmpd="sng" algn="ctr">
              <a:noFill/>
              <a:round/>
            </a:ln>
            <a:effectLst/>
          </c:spPr>
        </c:majorGridlines>
        <c:numFmt formatCode="General" sourceLinked="1"/>
        <c:majorTickMark val="out"/>
        <c:minorTickMark val="none"/>
        <c:tickLblPos val="nextTo"/>
        <c:crossAx val="-835921968"/>
        <c:crosses val="autoZero"/>
        <c:crossBetween val="midCat"/>
        <c:majorUnit val="1"/>
        <c:minorUnit val="0.1"/>
      </c:valAx>
      <c:valAx>
        <c:axId val="-835921968"/>
        <c:scaling>
          <c:orientation val="minMax"/>
        </c:scaling>
        <c:delete val="1"/>
        <c:axPos val="l"/>
        <c:majorGridlines>
          <c:spPr>
            <a:ln w="9525" cap="flat" cmpd="sng" algn="ctr">
              <a:noFill/>
              <a:round/>
            </a:ln>
            <a:effectLst/>
          </c:spPr>
        </c:majorGridlines>
        <c:numFmt formatCode="General" sourceLinked="1"/>
        <c:majorTickMark val="out"/>
        <c:minorTickMark val="none"/>
        <c:tickLblPos val="nextTo"/>
        <c:crossAx val="-835915440"/>
        <c:crossesAt val="0"/>
        <c:crossBetween val="midCat"/>
        <c:majorUnit val="1"/>
        <c:minorUnit val="0.1"/>
      </c:valAx>
      <c:valAx>
        <c:axId val="-835924688"/>
        <c:scaling>
          <c:orientation val="minMax"/>
        </c:scaling>
        <c:delete val="1"/>
        <c:axPos val="b"/>
        <c:numFmt formatCode="General" sourceLinked="1"/>
        <c:majorTickMark val="none"/>
        <c:minorTickMark val="none"/>
        <c:tickLblPos val="none"/>
        <c:crossAx val="-835912720"/>
        <c:crosses val="max"/>
        <c:crossBetween val="between"/>
      </c:valAx>
      <c:catAx>
        <c:axId val="-835912720"/>
        <c:scaling>
          <c:orientation val="maxMin"/>
        </c:scaling>
        <c:delete val="0"/>
        <c:axPos val="r"/>
        <c:numFmt formatCode="General" sourceLinked="1"/>
        <c:majorTickMark val="none"/>
        <c:minorTickMark val="none"/>
        <c:tickLblPos val="low"/>
        <c:spPr>
          <a:noFill/>
          <a:ln w="9525" cap="flat" cmpd="sng" algn="ctr">
            <a:noFill/>
            <a:round/>
          </a:ln>
          <a:effectLst/>
        </c:spPr>
        <c:txPr>
          <a:bodyPr rot="-900000" spcFirstLastPara="1" vertOverflow="ellipsis" wrap="square" anchor="b" anchorCtr="0"/>
          <a:lstStyle/>
          <a:p>
            <a:pPr>
              <a:defRPr sz="1000" b="0" i="0" u="none" strike="noStrike" kern="1200" baseline="0">
                <a:solidFill>
                  <a:schemeClr val="tx1">
                    <a:lumMod val="65000"/>
                    <a:lumOff val="35000"/>
                  </a:schemeClr>
                </a:solidFill>
                <a:latin typeface="+mn-lt"/>
                <a:ea typeface="+mn-ea"/>
                <a:cs typeface="+mn-cs"/>
              </a:defRPr>
            </a:pPr>
            <a:endParaRPr lang="en-US"/>
          </a:p>
        </c:txPr>
        <c:crossAx val="-835924688"/>
        <c:crosses val="max"/>
        <c:auto val="1"/>
        <c:lblAlgn val="ctr"/>
        <c:lblOffset val="100"/>
        <c:noMultiLvlLbl val="0"/>
      </c:catAx>
      <c:spPr>
        <a:blipFill>
          <a:blip xmlns:r="http://schemas.openxmlformats.org/officeDocument/2006/relationships" r:embed="rId3">
            <a:alphaModFix amt="60000"/>
          </a:blip>
          <a:stretch>
            <a:fillRect/>
          </a:stretch>
        </a:blipFill>
        <a:ln>
          <a:noFill/>
        </a:ln>
        <a:effectLst/>
      </c:spPr>
    </c:plotArea>
    <c:plotVisOnly val="1"/>
    <c:dispBlanksAs val="gap"/>
    <c:showDLblsOverMax val="0"/>
  </c:chart>
  <c:spPr>
    <a:noFill/>
    <a:ln w="9525" cap="flat" cmpd="sng" algn="ctr">
      <a:solidFill>
        <a:schemeClr val="bg1">
          <a:alpha val="25000"/>
        </a:schemeClr>
      </a:solidFill>
      <a:round/>
    </a:ln>
    <a:effectLst/>
  </c:spPr>
  <c:txPr>
    <a:bodyPr/>
    <a:lstStyle/>
    <a:p>
      <a:pPr>
        <a:defRPr/>
      </a:pPr>
      <a:endParaRPr lang="en-US"/>
    </a:p>
  </c:txPr>
  <c:printSettings>
    <c:headerFooter/>
    <c:pageMargins b="0.75" l="0.7" r="0.7" t="0.75" header="0.3" footer="0.3"/>
    <c:pageSetup orientation="portrait"/>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37826468844757"/>
          <c:y val="3.5072259203960697E-2"/>
          <c:w val="0.86121380648936485"/>
          <c:h val="0.93421157759278683"/>
        </c:manualLayout>
      </c:layout>
      <c:barChart>
        <c:barDir val="bar"/>
        <c:grouping val="clustered"/>
        <c:varyColors val="0"/>
        <c:ser>
          <c:idx val="2"/>
          <c:order val="0"/>
          <c:tx>
            <c:v>Names Indicators Enabling Environment</c:v>
          </c:tx>
          <c:spPr>
            <a:solidFill>
              <a:schemeClr val="accent3">
                <a:alpha val="75000"/>
              </a:schemeClr>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CF4-4965-99D3-16A265AC0656}"/>
            </c:ext>
          </c:extLst>
        </c:ser>
        <c:dLbls>
          <c:showLegendKey val="0"/>
          <c:showVal val="0"/>
          <c:showCatName val="0"/>
          <c:showSerName val="0"/>
          <c:showPercent val="0"/>
          <c:showBubbleSize val="0"/>
        </c:dLbls>
        <c:gapWidth val="150"/>
        <c:axId val="-835920880"/>
        <c:axId val="-835927952"/>
      </c:barChart>
      <c:scatterChart>
        <c:scatterStyle val="lineMarker"/>
        <c:varyColors val="0"/>
        <c:ser>
          <c:idx val="3"/>
          <c:order val="1"/>
          <c:tx>
            <c:strRef>
              <c:f>#REF!</c:f>
              <c:strCache>
                <c:ptCount val="1"/>
                <c:pt idx="0">
                  <c:v>#REF!</c:v>
                </c:pt>
              </c:strCache>
            </c:strRef>
          </c:tx>
          <c:spPr>
            <a:ln w="25400" cap="rnd">
              <a:noFill/>
              <a:round/>
            </a:ln>
            <a:effectLst/>
          </c:spPr>
          <c:marker>
            <c:symbol val="circle"/>
            <c:size val="5"/>
            <c:spPr>
              <a:solidFill>
                <a:srgbClr val="000066"/>
              </a:solidFill>
              <a:ln w="50800">
                <a:solidFill>
                  <a:schemeClr val="accent3"/>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2-4CF4-4965-99D3-16A265AC0656}"/>
            </c:ext>
          </c:extLst>
        </c:ser>
        <c:ser>
          <c:idx val="0"/>
          <c:order val="2"/>
          <c:tx>
            <c:strRef>
              <c:f>#REF!</c:f>
              <c:strCache>
                <c:ptCount val="1"/>
                <c:pt idx="0">
                  <c:v>#REF!</c:v>
                </c:pt>
              </c:strCache>
            </c:strRef>
          </c:tx>
          <c:spPr>
            <a:ln w="25400" cap="rnd">
              <a:noFill/>
              <a:round/>
            </a:ln>
            <a:effectLst/>
          </c:spPr>
          <c:marker>
            <c:symbol val="circle"/>
            <c:size val="5"/>
            <c:spPr>
              <a:solidFill>
                <a:schemeClr val="accent2"/>
              </a:solidFill>
              <a:ln w="50800">
                <a:solidFill>
                  <a:schemeClr val="accent2"/>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0-AD69-594F-86BA-95C23DC4070D}"/>
            </c:ext>
          </c:extLst>
        </c:ser>
        <c:ser>
          <c:idx val="1"/>
          <c:order val="3"/>
          <c:tx>
            <c:strRef>
              <c:f>#REF!</c:f>
              <c:strCache>
                <c:ptCount val="1"/>
                <c:pt idx="0">
                  <c:v>#REF!</c:v>
                </c:pt>
              </c:strCache>
            </c:strRef>
          </c:tx>
          <c:spPr>
            <a:ln w="25400" cap="rnd">
              <a:noFill/>
              <a:round/>
            </a:ln>
            <a:effectLst/>
          </c:spPr>
          <c:marker>
            <c:symbol val="circle"/>
            <c:size val="5"/>
            <c:spPr>
              <a:solidFill>
                <a:srgbClr val="A21942"/>
              </a:solidFill>
              <a:ln w="50800">
                <a:solidFill>
                  <a:srgbClr val="C00000"/>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1-4CF4-4965-99D3-16A265AC0656}"/>
            </c:ext>
          </c:extLst>
        </c:ser>
        <c:dLbls>
          <c:showLegendKey val="0"/>
          <c:showVal val="0"/>
          <c:showCatName val="0"/>
          <c:showSerName val="0"/>
          <c:showPercent val="0"/>
          <c:showBubbleSize val="0"/>
        </c:dLbls>
        <c:axId val="-835921424"/>
        <c:axId val="-835914352"/>
      </c:scatterChart>
      <c:valAx>
        <c:axId val="-835921424"/>
        <c:scaling>
          <c:orientation val="minMax"/>
        </c:scaling>
        <c:delete val="1"/>
        <c:axPos val="b"/>
        <c:majorGridlines>
          <c:spPr>
            <a:ln w="9525" cap="flat" cmpd="sng" algn="ctr">
              <a:noFill/>
              <a:round/>
            </a:ln>
            <a:effectLst/>
          </c:spPr>
        </c:majorGridlines>
        <c:numFmt formatCode="General" sourceLinked="1"/>
        <c:majorTickMark val="out"/>
        <c:minorTickMark val="none"/>
        <c:tickLblPos val="nextTo"/>
        <c:crossAx val="-835914352"/>
        <c:crosses val="autoZero"/>
        <c:crossBetween val="midCat"/>
        <c:majorUnit val="1"/>
        <c:minorUnit val="0.1"/>
      </c:valAx>
      <c:valAx>
        <c:axId val="-835914352"/>
        <c:scaling>
          <c:orientation val="minMax"/>
        </c:scaling>
        <c:delete val="1"/>
        <c:axPos val="l"/>
        <c:majorGridlines>
          <c:spPr>
            <a:ln w="9525" cap="flat" cmpd="sng" algn="ctr">
              <a:noFill/>
              <a:round/>
            </a:ln>
            <a:effectLst/>
          </c:spPr>
        </c:majorGridlines>
        <c:numFmt formatCode="General" sourceLinked="1"/>
        <c:majorTickMark val="out"/>
        <c:minorTickMark val="none"/>
        <c:tickLblPos val="nextTo"/>
        <c:crossAx val="-835921424"/>
        <c:crossesAt val="0"/>
        <c:crossBetween val="midCat"/>
        <c:majorUnit val="1"/>
        <c:minorUnit val="0.1"/>
      </c:valAx>
      <c:valAx>
        <c:axId val="-835927952"/>
        <c:scaling>
          <c:orientation val="minMax"/>
        </c:scaling>
        <c:delete val="1"/>
        <c:axPos val="b"/>
        <c:numFmt formatCode="General" sourceLinked="1"/>
        <c:majorTickMark val="none"/>
        <c:minorTickMark val="none"/>
        <c:tickLblPos val="none"/>
        <c:crossAx val="-835920880"/>
        <c:crosses val="max"/>
        <c:crossBetween val="between"/>
      </c:valAx>
      <c:catAx>
        <c:axId val="-835920880"/>
        <c:scaling>
          <c:orientation val="maxMin"/>
        </c:scaling>
        <c:delete val="0"/>
        <c:axPos val="r"/>
        <c:numFmt formatCode="General" sourceLinked="1"/>
        <c:majorTickMark val="none"/>
        <c:minorTickMark val="none"/>
        <c:tickLblPos val="low"/>
        <c:spPr>
          <a:noFill/>
          <a:ln w="9525" cap="flat" cmpd="sng" algn="ctr">
            <a:noFill/>
            <a:round/>
          </a:ln>
          <a:effectLst/>
        </c:spPr>
        <c:txPr>
          <a:bodyPr rot="-900000" spcFirstLastPara="1" vertOverflow="ellipsis" wrap="square" anchor="b" anchorCtr="0"/>
          <a:lstStyle/>
          <a:p>
            <a:pPr>
              <a:defRPr sz="1000" b="0" i="0" u="none" strike="noStrike" kern="1200" baseline="0">
                <a:solidFill>
                  <a:schemeClr val="tx1">
                    <a:lumMod val="65000"/>
                    <a:lumOff val="35000"/>
                  </a:schemeClr>
                </a:solidFill>
                <a:latin typeface="+mn-lt"/>
                <a:ea typeface="+mn-ea"/>
                <a:cs typeface="+mn-cs"/>
              </a:defRPr>
            </a:pPr>
            <a:endParaRPr lang="en-US"/>
          </a:p>
        </c:txPr>
        <c:crossAx val="-835927952"/>
        <c:crosses val="max"/>
        <c:auto val="1"/>
        <c:lblAlgn val="ctr"/>
        <c:lblOffset val="100"/>
        <c:noMultiLvlLbl val="0"/>
      </c:catAx>
      <c:spPr>
        <a:blipFill>
          <a:blip xmlns:r="http://schemas.openxmlformats.org/officeDocument/2006/relationships" r:embed="rId3">
            <a:alphaModFix amt="60000"/>
          </a:blip>
          <a:stretch>
            <a:fillRect/>
          </a:stretch>
        </a:blipFill>
        <a:ln>
          <a:noFill/>
        </a:ln>
        <a:effectLst/>
      </c:spPr>
    </c:plotArea>
    <c:plotVisOnly val="1"/>
    <c:dispBlanksAs val="gap"/>
    <c:showDLblsOverMax val="0"/>
  </c:chart>
  <c:spPr>
    <a:noFill/>
    <a:ln w="9525" cap="flat" cmpd="sng" algn="ctr">
      <a:solidFill>
        <a:schemeClr val="bg1">
          <a:alpha val="25000"/>
        </a:schemeClr>
      </a:solidFill>
      <a:round/>
    </a:ln>
    <a:effectLst/>
  </c:spPr>
  <c:txPr>
    <a:bodyPr/>
    <a:lstStyle/>
    <a:p>
      <a:pPr>
        <a:defRPr/>
      </a:pPr>
      <a:endParaRPr lang="en-US"/>
    </a:p>
  </c:txPr>
  <c:printSettings>
    <c:headerFooter/>
    <c:pageMargins b="0.75" l="0.7" r="0.7" t="0.75" header="0.3" footer="0.3"/>
    <c:pageSetup orientation="portrait"/>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57150" cap="rnd">
              <a:solidFill>
                <a:schemeClr val="accent1"/>
              </a:solidFill>
              <a:round/>
            </a:ln>
            <a:effectLst/>
          </c:spPr>
          <c:marker>
            <c:symbol val="none"/>
          </c:marker>
          <c:dLbls>
            <c:delete val="1"/>
          </c:dLbls>
          <c:cat>
            <c:strRef>
              <c:f>'Diagram Data'!$W$3:$W$20</c:f>
              <c:strCache>
                <c:ptCount val="18"/>
                <c:pt idx="0">
                  <c:v>S1
Suppliers</c:v>
                </c:pt>
                <c:pt idx="1">
                  <c:v>S2
Sales Volume</c:v>
                </c:pt>
                <c:pt idx="2">
                  <c:v>S3
Prices, costs and profits</c:v>
                </c:pt>
                <c:pt idx="3">
                  <c:v>S4
Supply chain development and after-sales service</c:v>
                </c:pt>
                <c:pt idx="4">
                  <c:v>S5
Warranties</c:v>
                </c:pt>
                <c:pt idx="5">
                  <c:v>S6
Entrepreneurial skills</c:v>
                </c:pt>
                <c:pt idx="6">
                  <c:v>D1
Product and service diversity</c:v>
                </c:pt>
                <c:pt idx="7">
                  <c:v>D2
Market penetration</c:v>
                </c:pt>
                <c:pt idx="8">
                  <c:v>D3
Willingness to pay</c:v>
                </c:pt>
                <c:pt idx="9">
                  <c:v>D4
Systems in use</c:v>
                </c:pt>
                <c:pt idx="10">
                  <c:v>D5
Replacement and repair</c:v>
                </c:pt>
                <c:pt idx="11">
                  <c:v>D6
Consumer awareness and perception</c:v>
                </c:pt>
                <c:pt idx="12">
                  <c:v>D7
Productive use</c:v>
                </c:pt>
                <c:pt idx="13">
                  <c:v>E1
Policy</c:v>
                </c:pt>
                <c:pt idx="14">
                  <c:v>E2
Access to finance</c:v>
                </c:pt>
                <c:pt idx="15">
                  <c:v>E3
Quality regulations, norms and standards</c:v>
                </c:pt>
                <c:pt idx="16">
                  <c:v>E4
Market information</c:v>
                </c:pt>
                <c:pt idx="17">
                  <c:v>E5
Expertise development</c:v>
                </c:pt>
              </c:strCache>
            </c:strRef>
          </c:cat>
          <c:val>
            <c:numRef>
              <c:f>'Diagram Data'!$Z$3:$Z$20</c:f>
              <c:numCache>
                <c:formatCode>General</c:formatCode>
                <c:ptCount val="18"/>
                <c:pt idx="0" formatCode="0.00">
                  <c:v>0</c:v>
                </c:pt>
                <c:pt idx="1">
                  <c:v>0</c:v>
                </c:pt>
                <c:pt idx="2">
                  <c:v>0</c:v>
                </c:pt>
                <c:pt idx="3">
                  <c:v>0</c:v>
                </c:pt>
                <c:pt idx="4">
                  <c:v>0</c:v>
                </c:pt>
                <c:pt idx="5" formatCode="0.00">
                  <c:v>0</c:v>
                </c:pt>
                <c:pt idx="6">
                  <c:v>0</c:v>
                </c:pt>
                <c:pt idx="7">
                  <c:v>0</c:v>
                </c:pt>
                <c:pt idx="8">
                  <c:v>0</c:v>
                </c:pt>
                <c:pt idx="9">
                  <c:v>0</c:v>
                </c:pt>
                <c:pt idx="10">
                  <c:v>0</c:v>
                </c:pt>
                <c:pt idx="11">
                  <c:v>0</c:v>
                </c:pt>
                <c:pt idx="12">
                  <c:v>0</c:v>
                </c:pt>
                <c:pt idx="13" formatCode="0.00">
                  <c:v>0</c:v>
                </c:pt>
                <c:pt idx="14">
                  <c:v>0</c:v>
                </c:pt>
                <c:pt idx="15">
                  <c:v>0</c:v>
                </c:pt>
                <c:pt idx="16">
                  <c:v>0</c:v>
                </c:pt>
                <c:pt idx="17" formatCode="0.0">
                  <c:v>0</c:v>
                </c:pt>
              </c:numCache>
            </c:numRef>
          </c:val>
          <c:extLst>
            <c:ext xmlns:c16="http://schemas.microsoft.com/office/drawing/2014/chart" uri="{C3380CC4-5D6E-409C-BE32-E72D297353CC}">
              <c16:uniqueId val="{00000000-691A-457C-B6E0-07453E6985B5}"/>
            </c:ext>
          </c:extLst>
        </c:ser>
        <c:dLbls>
          <c:showLegendKey val="0"/>
          <c:showVal val="1"/>
          <c:showCatName val="0"/>
          <c:showSerName val="0"/>
          <c:showPercent val="0"/>
          <c:showBubbleSize val="0"/>
        </c:dLbls>
        <c:axId val="-835919792"/>
        <c:axId val="-835918160"/>
      </c:radarChart>
      <c:catAx>
        <c:axId val="-83591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35918160"/>
        <c:crosses val="autoZero"/>
        <c:auto val="1"/>
        <c:lblAlgn val="ctr"/>
        <c:lblOffset val="100"/>
        <c:noMultiLvlLbl val="0"/>
      </c:catAx>
      <c:valAx>
        <c:axId val="-835918160"/>
        <c:scaling>
          <c:orientation val="minMax"/>
          <c:max val="4.5"/>
          <c:min val="0.2"/>
        </c:scaling>
        <c:delete val="0"/>
        <c:axPos val="l"/>
        <c:majorGridlines>
          <c:spPr>
            <a:ln w="9525" cap="flat" cmpd="sng" algn="ctr">
              <a:noFill/>
              <a:round/>
            </a:ln>
            <a:effectLst/>
          </c:spPr>
        </c:majorGridlines>
        <c:numFmt formatCode="@" sourceLinked="0"/>
        <c:majorTickMark val="none"/>
        <c:minorTickMark val="in"/>
        <c:tickLblPos val="none"/>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5919792"/>
        <c:crosses val="autoZero"/>
        <c:crossBetween val="between"/>
        <c:majorUnit val="1"/>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48562618431279E-2"/>
          <c:y val="5.2287076255757486E-2"/>
          <c:w val="0.92685143738156872"/>
          <c:h val="0.89612721846500842"/>
        </c:manualLayout>
      </c:layout>
      <c:bubbleChart>
        <c:varyColors val="0"/>
        <c:ser>
          <c:idx val="2"/>
          <c:order val="0"/>
          <c:tx>
            <c:strRef>
              <c:f>'Diagram Data'!$AC$1:$AE$1</c:f>
              <c:strCache>
                <c:ptCount val="1"/>
              </c:strCache>
            </c:strRef>
          </c:tx>
          <c:spPr>
            <a:solidFill>
              <a:schemeClr val="accent3"/>
            </a:solidFill>
            <a:ln w="25400">
              <a:noFill/>
            </a:ln>
            <a:effectLst/>
          </c:spPr>
          <c:invertIfNegative val="0"/>
          <c:xVal>
            <c:numRef>
              <c:f>'Diagram Data'!$AC$3:$AC$20</c:f>
              <c:numCache>
                <c:formatCode>General</c:formatCode>
                <c:ptCount val="18"/>
                <c:pt idx="0">
                  <c:v>0.25</c:v>
                </c:pt>
                <c:pt idx="1">
                  <c:v>1.4</c:v>
                </c:pt>
                <c:pt idx="2">
                  <c:v>2.8</c:v>
                </c:pt>
                <c:pt idx="3">
                  <c:v>4.3</c:v>
                </c:pt>
                <c:pt idx="4">
                  <c:v>5.6</c:v>
                </c:pt>
                <c:pt idx="5">
                  <c:v>6.5</c:v>
                </c:pt>
                <c:pt idx="6">
                  <c:v>0.25</c:v>
                </c:pt>
                <c:pt idx="7">
                  <c:v>1.4</c:v>
                </c:pt>
                <c:pt idx="8">
                  <c:v>2.8</c:v>
                </c:pt>
                <c:pt idx="9">
                  <c:v>4.3</c:v>
                </c:pt>
                <c:pt idx="10">
                  <c:v>5.6</c:v>
                </c:pt>
                <c:pt idx="11">
                  <c:v>6.5</c:v>
                </c:pt>
                <c:pt idx="12">
                  <c:v>0.25</c:v>
                </c:pt>
                <c:pt idx="13">
                  <c:v>1.4</c:v>
                </c:pt>
                <c:pt idx="14">
                  <c:v>2.8</c:v>
                </c:pt>
                <c:pt idx="15">
                  <c:v>4.3</c:v>
                </c:pt>
                <c:pt idx="16">
                  <c:v>5.6</c:v>
                </c:pt>
                <c:pt idx="17">
                  <c:v>6.5</c:v>
                </c:pt>
              </c:numCache>
            </c:numRef>
          </c:xVal>
          <c:yVal>
            <c:numRef>
              <c:f>'Diagram Data'!$AD$3:$AD$20</c:f>
              <c:numCache>
                <c:formatCode>General</c:formatCode>
                <c:ptCount val="18"/>
                <c:pt idx="0">
                  <c:v>0.1</c:v>
                </c:pt>
                <c:pt idx="1">
                  <c:v>0.7</c:v>
                </c:pt>
                <c:pt idx="2">
                  <c:v>1.2999999999999998</c:v>
                </c:pt>
                <c:pt idx="3">
                  <c:v>1.9</c:v>
                </c:pt>
                <c:pt idx="4">
                  <c:v>2.5</c:v>
                </c:pt>
                <c:pt idx="5">
                  <c:v>3.1</c:v>
                </c:pt>
                <c:pt idx="6">
                  <c:v>4.0999999999999996</c:v>
                </c:pt>
                <c:pt idx="7">
                  <c:v>4.6999999999999993</c:v>
                </c:pt>
                <c:pt idx="8">
                  <c:v>5.2999999999999989</c:v>
                </c:pt>
                <c:pt idx="9">
                  <c:v>5.8999999999999986</c:v>
                </c:pt>
                <c:pt idx="10">
                  <c:v>6.4999999999999982</c:v>
                </c:pt>
                <c:pt idx="11">
                  <c:v>7.0999999999999979</c:v>
                </c:pt>
                <c:pt idx="12">
                  <c:v>8.0999999999999979</c:v>
                </c:pt>
                <c:pt idx="13">
                  <c:v>8.6999999999999975</c:v>
                </c:pt>
                <c:pt idx="14">
                  <c:v>9.2999999999999972</c:v>
                </c:pt>
                <c:pt idx="15">
                  <c:v>9.8999999999999968</c:v>
                </c:pt>
                <c:pt idx="16">
                  <c:v>10.499999999999996</c:v>
                </c:pt>
                <c:pt idx="17">
                  <c:v>11.099999999999996</c:v>
                </c:pt>
              </c:numCache>
            </c:numRef>
          </c:yVal>
          <c:bubbleSize>
            <c:numRef>
              <c:f>'Diagram Data'!$AE$3:$AE$20</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bubbleSize>
          <c:bubble3D val="0"/>
          <c:extLst xmlns:c15="http://schemas.microsoft.com/office/drawing/2012/chart">
            <c:ext xmlns:c16="http://schemas.microsoft.com/office/drawing/2014/chart" uri="{C3380CC4-5D6E-409C-BE32-E72D297353CC}">
              <c16:uniqueId val="{00000001-7583-4972-8B35-D3F783E77510}"/>
            </c:ext>
          </c:extLst>
        </c:ser>
        <c:ser>
          <c:idx val="1"/>
          <c:order val="1"/>
          <c:tx>
            <c:strRef>
              <c:f>'Diagram Data'!$AF$1:$AH$1</c:f>
              <c:strCache>
                <c:ptCount val="1"/>
              </c:strCache>
            </c:strRef>
          </c:tx>
          <c:spPr>
            <a:solidFill>
              <a:schemeClr val="accent2"/>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'Diagram Data'!$AF$3:$AF$20</c:f>
              <c:numCache>
                <c:formatCode>General</c:formatCode>
                <c:ptCount val="18"/>
                <c:pt idx="0">
                  <c:v>0.25</c:v>
                </c:pt>
                <c:pt idx="1">
                  <c:v>1.4</c:v>
                </c:pt>
                <c:pt idx="2">
                  <c:v>2.8</c:v>
                </c:pt>
                <c:pt idx="3">
                  <c:v>4.3</c:v>
                </c:pt>
                <c:pt idx="4">
                  <c:v>5.6</c:v>
                </c:pt>
                <c:pt idx="5">
                  <c:v>6.5</c:v>
                </c:pt>
                <c:pt idx="6">
                  <c:v>0.25</c:v>
                </c:pt>
                <c:pt idx="7">
                  <c:v>1.4</c:v>
                </c:pt>
                <c:pt idx="8">
                  <c:v>2.8</c:v>
                </c:pt>
                <c:pt idx="9">
                  <c:v>4.3</c:v>
                </c:pt>
                <c:pt idx="10">
                  <c:v>5.6</c:v>
                </c:pt>
                <c:pt idx="11">
                  <c:v>6.5</c:v>
                </c:pt>
                <c:pt idx="12">
                  <c:v>0.25</c:v>
                </c:pt>
                <c:pt idx="13">
                  <c:v>1.4</c:v>
                </c:pt>
                <c:pt idx="14">
                  <c:v>2.8</c:v>
                </c:pt>
                <c:pt idx="15">
                  <c:v>4.3</c:v>
                </c:pt>
                <c:pt idx="16">
                  <c:v>5.6</c:v>
                </c:pt>
                <c:pt idx="17">
                  <c:v>6.5</c:v>
                </c:pt>
              </c:numCache>
            </c:numRef>
          </c:xVal>
          <c:yVal>
            <c:numRef>
              <c:f>'Diagram Data'!$AG$3:$AG$20</c:f>
              <c:numCache>
                <c:formatCode>General</c:formatCode>
                <c:ptCount val="18"/>
                <c:pt idx="0">
                  <c:v>0.7</c:v>
                </c:pt>
                <c:pt idx="1">
                  <c:v>1.2999999999999998</c:v>
                </c:pt>
                <c:pt idx="2">
                  <c:v>1.9</c:v>
                </c:pt>
                <c:pt idx="3">
                  <c:v>2.5</c:v>
                </c:pt>
                <c:pt idx="4">
                  <c:v>3.1</c:v>
                </c:pt>
                <c:pt idx="5">
                  <c:v>3.7</c:v>
                </c:pt>
                <c:pt idx="6">
                  <c:v>4.6999999999999993</c:v>
                </c:pt>
                <c:pt idx="7">
                  <c:v>5.2999999999999989</c:v>
                </c:pt>
                <c:pt idx="8">
                  <c:v>5.8999999999999986</c:v>
                </c:pt>
                <c:pt idx="9">
                  <c:v>6.4999999999999982</c:v>
                </c:pt>
                <c:pt idx="10">
                  <c:v>7.0999999999999979</c:v>
                </c:pt>
                <c:pt idx="11">
                  <c:v>7.6999999999999975</c:v>
                </c:pt>
                <c:pt idx="12">
                  <c:v>8.6999999999999975</c:v>
                </c:pt>
                <c:pt idx="13">
                  <c:v>9.2999999999999972</c:v>
                </c:pt>
                <c:pt idx="14">
                  <c:v>9.8999999999999968</c:v>
                </c:pt>
                <c:pt idx="15">
                  <c:v>10.499999999999996</c:v>
                </c:pt>
                <c:pt idx="16">
                  <c:v>11.099999999999996</c:v>
                </c:pt>
                <c:pt idx="17">
                  <c:v>11.699999999999996</c:v>
                </c:pt>
              </c:numCache>
            </c:numRef>
          </c:yVal>
          <c:bubbleSize>
            <c:numRef>
              <c:f>'Diagram Data'!$AH$3:$AH$20</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bubbleSize>
          <c:bubble3D val="0"/>
          <c:extLst>
            <c:ext xmlns:c16="http://schemas.microsoft.com/office/drawing/2014/chart" uri="{C3380CC4-5D6E-409C-BE32-E72D297353CC}">
              <c16:uniqueId val="{00000000-91F4-784D-B285-6E8E483C1131}"/>
            </c:ext>
          </c:extLst>
        </c:ser>
        <c:ser>
          <c:idx val="0"/>
          <c:order val="2"/>
          <c:tx>
            <c:strRef>
              <c:f>'Diagram Data'!$AI$1:$AK$1</c:f>
              <c:strCache>
                <c:ptCount val="1"/>
                <c:pt idx="0">
                  <c:v>2024</c:v>
                </c:pt>
              </c:strCache>
            </c:strRef>
          </c:tx>
          <c:spPr>
            <a:solidFill>
              <a:srgbClr val="A21942"/>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'Diagram Data'!$AI$3:$AI$20</c:f>
              <c:numCache>
                <c:formatCode>General</c:formatCode>
                <c:ptCount val="18"/>
                <c:pt idx="0">
                  <c:v>0.25</c:v>
                </c:pt>
                <c:pt idx="1">
                  <c:v>1.4</c:v>
                </c:pt>
                <c:pt idx="2">
                  <c:v>2.8</c:v>
                </c:pt>
                <c:pt idx="3">
                  <c:v>4.3</c:v>
                </c:pt>
                <c:pt idx="4">
                  <c:v>5.6</c:v>
                </c:pt>
                <c:pt idx="5">
                  <c:v>6.5</c:v>
                </c:pt>
                <c:pt idx="6">
                  <c:v>0.25</c:v>
                </c:pt>
                <c:pt idx="7">
                  <c:v>1.4</c:v>
                </c:pt>
                <c:pt idx="8">
                  <c:v>2.8</c:v>
                </c:pt>
                <c:pt idx="9">
                  <c:v>4.3</c:v>
                </c:pt>
                <c:pt idx="10">
                  <c:v>5.6</c:v>
                </c:pt>
                <c:pt idx="11">
                  <c:v>6.5</c:v>
                </c:pt>
                <c:pt idx="12">
                  <c:v>0.25</c:v>
                </c:pt>
                <c:pt idx="13">
                  <c:v>1.4</c:v>
                </c:pt>
                <c:pt idx="14">
                  <c:v>2.8</c:v>
                </c:pt>
                <c:pt idx="15">
                  <c:v>4.3</c:v>
                </c:pt>
                <c:pt idx="16">
                  <c:v>5.6</c:v>
                </c:pt>
                <c:pt idx="17">
                  <c:v>6.5</c:v>
                </c:pt>
              </c:numCache>
            </c:numRef>
          </c:xVal>
          <c:yVal>
            <c:numRef>
              <c:f>'Diagram Data'!$AJ$3:$AJ$20</c:f>
              <c:numCache>
                <c:formatCode>General</c:formatCode>
                <c:ptCount val="18"/>
                <c:pt idx="0">
                  <c:v>1.2999999999999998</c:v>
                </c:pt>
                <c:pt idx="1">
                  <c:v>1.9</c:v>
                </c:pt>
                <c:pt idx="2">
                  <c:v>2.5</c:v>
                </c:pt>
                <c:pt idx="3">
                  <c:v>3.1</c:v>
                </c:pt>
                <c:pt idx="4">
                  <c:v>3.7</c:v>
                </c:pt>
                <c:pt idx="5">
                  <c:v>4.3</c:v>
                </c:pt>
                <c:pt idx="6">
                  <c:v>5.2999999999999989</c:v>
                </c:pt>
                <c:pt idx="7">
                  <c:v>5.8999999999999986</c:v>
                </c:pt>
                <c:pt idx="8">
                  <c:v>6.4999999999999982</c:v>
                </c:pt>
                <c:pt idx="9">
                  <c:v>7.0999999999999979</c:v>
                </c:pt>
                <c:pt idx="10">
                  <c:v>7.6999999999999975</c:v>
                </c:pt>
                <c:pt idx="11">
                  <c:v>8.2999999999999972</c:v>
                </c:pt>
                <c:pt idx="12">
                  <c:v>9.2999999999999972</c:v>
                </c:pt>
                <c:pt idx="13">
                  <c:v>9.8999999999999968</c:v>
                </c:pt>
                <c:pt idx="14">
                  <c:v>10.499999999999996</c:v>
                </c:pt>
                <c:pt idx="15">
                  <c:v>11.099999999999996</c:v>
                </c:pt>
                <c:pt idx="16">
                  <c:v>11.699999999999996</c:v>
                </c:pt>
                <c:pt idx="17">
                  <c:v>12.299999999999995</c:v>
                </c:pt>
              </c:numCache>
            </c:numRef>
          </c:yVal>
          <c:bubbleSize>
            <c:numRef>
              <c:f>'Diagram Data'!$AK$3:$AK$20</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bubbleSize>
          <c:bubble3D val="0"/>
          <c:extLst>
            <c:ext xmlns:c16="http://schemas.microsoft.com/office/drawing/2014/chart" uri="{C3380CC4-5D6E-409C-BE32-E72D297353CC}">
              <c16:uniqueId val="{00000000-7583-4972-8B35-D3F783E77510}"/>
            </c:ext>
          </c:extLst>
        </c:ser>
        <c:dLbls>
          <c:showLegendKey val="0"/>
          <c:showVal val="0"/>
          <c:showCatName val="0"/>
          <c:showSerName val="0"/>
          <c:showPercent val="0"/>
          <c:showBubbleSize val="0"/>
        </c:dLbls>
        <c:bubbleScale val="40"/>
        <c:showNegBubbles val="0"/>
        <c:axId val="-835917616"/>
        <c:axId val="-835913264"/>
        <c:extLst/>
      </c:bubbleChart>
      <c:valAx>
        <c:axId val="-835917616"/>
        <c:scaling>
          <c:orientation val="minMax"/>
          <c:max val="7"/>
          <c:min val="0"/>
        </c:scaling>
        <c:delete val="1"/>
        <c:axPos val="b"/>
        <c:numFmt formatCode="General" sourceLinked="1"/>
        <c:majorTickMark val="out"/>
        <c:minorTickMark val="none"/>
        <c:tickLblPos val="nextTo"/>
        <c:crossAx val="-835913264"/>
        <c:crosses val="autoZero"/>
        <c:crossBetween val="midCat"/>
      </c:valAx>
      <c:valAx>
        <c:axId val="-835913264"/>
        <c:scaling>
          <c:orientation val="minMax"/>
          <c:max val="11.5"/>
          <c:min val="0"/>
        </c:scaling>
        <c:delete val="1"/>
        <c:axPos val="l"/>
        <c:numFmt formatCode="General" sourceLinked="1"/>
        <c:majorTickMark val="out"/>
        <c:minorTickMark val="none"/>
        <c:tickLblPos val="nextTo"/>
        <c:crossAx val="-835917616"/>
        <c:crosses val="autoZero"/>
        <c:crossBetween val="midCat"/>
      </c:valAx>
      <c:spPr>
        <a:noFill/>
        <a:ln w="25400">
          <a:noFill/>
        </a:ln>
        <a:effectLst/>
      </c:spPr>
    </c:plotArea>
    <c:legend>
      <c:legendPos val="r"/>
      <c:layout>
        <c:manualLayout>
          <c:xMode val="edge"/>
          <c:yMode val="edge"/>
          <c:x val="0.84564921977318497"/>
          <c:y val="5.0141413526963344E-2"/>
          <c:w val="0.13212172203437891"/>
          <c:h val="0.192295871686985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'Diagram Data'!$Z$1</c:f>
              <c:strCache>
                <c:ptCount val="1"/>
                <c:pt idx="0">
                  <c:v>2024</c:v>
                </c:pt>
              </c:strCache>
            </c:strRef>
          </c:tx>
          <c:spPr>
            <a:ln w="38100" cap="rnd">
              <a:solidFill>
                <a:srgbClr val="A21942"/>
              </a:solidFill>
              <a:round/>
            </a:ln>
            <a:effectLst/>
          </c:spPr>
          <c:marker>
            <c:symbol val="none"/>
          </c:marker>
          <c:dLbls>
            <c:delete val="1"/>
          </c:dLbls>
          <c:cat>
            <c:strRef>
              <c:f>'Diagram Data'!$W$3:$W$20</c:f>
              <c:strCache>
                <c:ptCount val="18"/>
                <c:pt idx="0">
                  <c:v>S1
Suppliers</c:v>
                </c:pt>
                <c:pt idx="1">
                  <c:v>S2
Sales Volume</c:v>
                </c:pt>
                <c:pt idx="2">
                  <c:v>S3
Prices, costs and profits</c:v>
                </c:pt>
                <c:pt idx="3">
                  <c:v>S4
Supply chain development and after-sales service</c:v>
                </c:pt>
                <c:pt idx="4">
                  <c:v>S5
Warranties</c:v>
                </c:pt>
                <c:pt idx="5">
                  <c:v>S6
Entrepreneurial skills</c:v>
                </c:pt>
                <c:pt idx="6">
                  <c:v>D1
Product and service diversity</c:v>
                </c:pt>
                <c:pt idx="7">
                  <c:v>D2
Market penetration</c:v>
                </c:pt>
                <c:pt idx="8">
                  <c:v>D3
Willingness to pay</c:v>
                </c:pt>
                <c:pt idx="9">
                  <c:v>D4
Systems in use</c:v>
                </c:pt>
                <c:pt idx="10">
                  <c:v>D5
Replacement and repair</c:v>
                </c:pt>
                <c:pt idx="11">
                  <c:v>D6
Consumer awareness and perception</c:v>
                </c:pt>
                <c:pt idx="12">
                  <c:v>D7
Productive use</c:v>
                </c:pt>
                <c:pt idx="13">
                  <c:v>E1
Policy</c:v>
                </c:pt>
                <c:pt idx="14">
                  <c:v>E2
Access to finance</c:v>
                </c:pt>
                <c:pt idx="15">
                  <c:v>E3
Quality regulations, norms and standards</c:v>
                </c:pt>
                <c:pt idx="16">
                  <c:v>E4
Market information</c:v>
                </c:pt>
                <c:pt idx="17">
                  <c:v>E5
Expertise development</c:v>
                </c:pt>
              </c:strCache>
            </c:strRef>
          </c:cat>
          <c:val>
            <c:numRef>
              <c:f>'Diagram Data'!$Z$3:$Z$20</c:f>
              <c:numCache>
                <c:formatCode>General</c:formatCode>
                <c:ptCount val="18"/>
                <c:pt idx="0" formatCode="0.00">
                  <c:v>0</c:v>
                </c:pt>
                <c:pt idx="1">
                  <c:v>0</c:v>
                </c:pt>
                <c:pt idx="2">
                  <c:v>0</c:v>
                </c:pt>
                <c:pt idx="3">
                  <c:v>0</c:v>
                </c:pt>
                <c:pt idx="4">
                  <c:v>0</c:v>
                </c:pt>
                <c:pt idx="5" formatCode="0.00">
                  <c:v>0</c:v>
                </c:pt>
                <c:pt idx="6">
                  <c:v>0</c:v>
                </c:pt>
                <c:pt idx="7">
                  <c:v>0</c:v>
                </c:pt>
                <c:pt idx="8">
                  <c:v>0</c:v>
                </c:pt>
                <c:pt idx="9">
                  <c:v>0</c:v>
                </c:pt>
                <c:pt idx="10">
                  <c:v>0</c:v>
                </c:pt>
                <c:pt idx="11">
                  <c:v>0</c:v>
                </c:pt>
                <c:pt idx="12">
                  <c:v>0</c:v>
                </c:pt>
                <c:pt idx="13" formatCode="0.00">
                  <c:v>0</c:v>
                </c:pt>
                <c:pt idx="14">
                  <c:v>0</c:v>
                </c:pt>
                <c:pt idx="15">
                  <c:v>0</c:v>
                </c:pt>
                <c:pt idx="16">
                  <c:v>0</c:v>
                </c:pt>
                <c:pt idx="17" formatCode="0.0">
                  <c:v>0</c:v>
                </c:pt>
              </c:numCache>
            </c:numRef>
          </c:val>
          <c:extLst>
            <c:ext xmlns:c16="http://schemas.microsoft.com/office/drawing/2014/chart" uri="{C3380CC4-5D6E-409C-BE32-E72D297353CC}">
              <c16:uniqueId val="{00000000-EB6D-4972-B61A-5926B779A5D1}"/>
            </c:ext>
          </c:extLst>
        </c:ser>
        <c:ser>
          <c:idx val="1"/>
          <c:order val="1"/>
          <c:tx>
            <c:strRef>
              <c:f>'Diagram Data'!$Y$1</c:f>
              <c:strCache>
                <c:ptCount val="1"/>
              </c:strCache>
            </c:strRef>
          </c:tx>
          <c:spPr>
            <a:ln w="38100" cap="rnd">
              <a:solidFill>
                <a:schemeClr val="accent2"/>
              </a:solidFill>
              <a:round/>
            </a:ln>
            <a:effectLst/>
          </c:spPr>
          <c:marker>
            <c:symbol val="none"/>
          </c:marker>
          <c:dLbls>
            <c:delete val="1"/>
          </c:dLbls>
          <c:val>
            <c:numRef>
              <c:f>'Diagram Data'!$Y$3:$Y$20</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00">
                  <c:v>0</c:v>
                </c:pt>
                <c:pt idx="17">
                  <c:v>0</c:v>
                </c:pt>
              </c:numCache>
            </c:numRef>
          </c:val>
          <c:extLst>
            <c:ext xmlns:c16="http://schemas.microsoft.com/office/drawing/2014/chart" uri="{C3380CC4-5D6E-409C-BE32-E72D297353CC}">
              <c16:uniqueId val="{00000001-EB6D-4972-B61A-5926B779A5D1}"/>
            </c:ext>
          </c:extLst>
        </c:ser>
        <c:ser>
          <c:idx val="2"/>
          <c:order val="2"/>
          <c:tx>
            <c:strRef>
              <c:f>'Diagram Data'!$X$1</c:f>
              <c:strCache>
                <c:ptCount val="1"/>
              </c:strCache>
            </c:strRef>
          </c:tx>
          <c:spPr>
            <a:ln w="38100" cap="rnd">
              <a:solidFill>
                <a:srgbClr val="D08BA0"/>
              </a:solidFill>
              <a:round/>
            </a:ln>
            <a:effectLst/>
          </c:spPr>
          <c:marker>
            <c:symbol val="none"/>
          </c:marker>
          <c:dLbls>
            <c:delete val="1"/>
          </c:dLbls>
          <c:val>
            <c:numRef>
              <c:f>'Diagram Data'!$X$3:$X$20</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EB6D-4972-B61A-5926B779A5D1}"/>
            </c:ext>
          </c:extLst>
        </c:ser>
        <c:dLbls>
          <c:showLegendKey val="0"/>
          <c:showVal val="1"/>
          <c:showCatName val="0"/>
          <c:showSerName val="0"/>
          <c:showPercent val="0"/>
          <c:showBubbleSize val="0"/>
        </c:dLbls>
        <c:axId val="-835919792"/>
        <c:axId val="-835918160"/>
      </c:radarChart>
      <c:catAx>
        <c:axId val="-83591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35918160"/>
        <c:crosses val="autoZero"/>
        <c:auto val="1"/>
        <c:lblAlgn val="ctr"/>
        <c:lblOffset val="100"/>
        <c:noMultiLvlLbl val="0"/>
      </c:catAx>
      <c:valAx>
        <c:axId val="-835918160"/>
        <c:scaling>
          <c:orientation val="minMax"/>
          <c:max val="4.5"/>
          <c:min val="0.2"/>
        </c:scaling>
        <c:delete val="0"/>
        <c:axPos val="l"/>
        <c:majorGridlines>
          <c:spPr>
            <a:ln w="9525" cap="flat" cmpd="sng" algn="ctr">
              <a:noFill/>
              <a:round/>
            </a:ln>
            <a:effectLst/>
          </c:spPr>
        </c:majorGridlines>
        <c:numFmt formatCode="@" sourceLinked="0"/>
        <c:majorTickMark val="none"/>
        <c:minorTickMark val="in"/>
        <c:tickLblPos val="none"/>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5919792"/>
        <c:crosses val="autoZero"/>
        <c:crossBetween val="between"/>
        <c:majorUnit val="1"/>
      </c:valAx>
      <c:spPr>
        <a:noFill/>
        <a:ln>
          <a:noFill/>
        </a:ln>
        <a:effectLst/>
      </c:spPr>
    </c:plotArea>
    <c:legend>
      <c:legendPos val="r"/>
      <c:layout>
        <c:manualLayout>
          <c:xMode val="edge"/>
          <c:yMode val="edge"/>
          <c:x val="0.82501461752367833"/>
          <c:y val="0.87327486910440821"/>
          <c:w val="6.9171264537499971E-2"/>
          <c:h val="9.09063145008793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5.png"/><Relationship Id="rId13" Type="http://schemas.microsoft.com/office/2007/relationships/hdphoto" Target="../media/hdphoto6.wdp"/><Relationship Id="rId18" Type="http://schemas.openxmlformats.org/officeDocument/2006/relationships/image" Target="../media/image30.png"/><Relationship Id="rId3" Type="http://schemas.openxmlformats.org/officeDocument/2006/relationships/image" Target="../media/image22.png"/><Relationship Id="rId21" Type="http://schemas.microsoft.com/office/2007/relationships/hdphoto" Target="../media/hdphoto10.wdp"/><Relationship Id="rId7" Type="http://schemas.microsoft.com/office/2007/relationships/hdphoto" Target="../media/hdphoto3.wdp"/><Relationship Id="rId12" Type="http://schemas.openxmlformats.org/officeDocument/2006/relationships/image" Target="../media/image27.png"/><Relationship Id="rId17" Type="http://schemas.microsoft.com/office/2007/relationships/hdphoto" Target="../media/hdphoto8.wdp"/><Relationship Id="rId2" Type="http://schemas.microsoft.com/office/2007/relationships/hdphoto" Target="../media/hdphoto1.wdp"/><Relationship Id="rId16" Type="http://schemas.openxmlformats.org/officeDocument/2006/relationships/image" Target="../media/image29.png"/><Relationship Id="rId20" Type="http://schemas.openxmlformats.org/officeDocument/2006/relationships/image" Target="../media/image31.png"/><Relationship Id="rId1" Type="http://schemas.openxmlformats.org/officeDocument/2006/relationships/image" Target="../media/image21.png"/><Relationship Id="rId6" Type="http://schemas.openxmlformats.org/officeDocument/2006/relationships/image" Target="../media/image24.png"/><Relationship Id="rId11" Type="http://schemas.microsoft.com/office/2007/relationships/hdphoto" Target="../media/hdphoto5.wdp"/><Relationship Id="rId5" Type="http://schemas.openxmlformats.org/officeDocument/2006/relationships/image" Target="../media/image23.png"/><Relationship Id="rId15" Type="http://schemas.microsoft.com/office/2007/relationships/hdphoto" Target="../media/hdphoto7.wdp"/><Relationship Id="rId10" Type="http://schemas.openxmlformats.org/officeDocument/2006/relationships/image" Target="../media/image26.png"/><Relationship Id="rId19" Type="http://schemas.microsoft.com/office/2007/relationships/hdphoto" Target="../media/hdphoto9.wdp"/><Relationship Id="rId4" Type="http://schemas.microsoft.com/office/2007/relationships/hdphoto" Target="../media/hdphoto2.wdp"/><Relationship Id="rId9" Type="http://schemas.microsoft.com/office/2007/relationships/hdphoto" Target="../media/hdphoto4.wdp"/><Relationship Id="rId14" Type="http://schemas.openxmlformats.org/officeDocument/2006/relationships/image" Target="../media/image28.png"/></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0.emf"/><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chart" Target="../charts/chart6.xml"/><Relationship Id="rId5" Type="http://schemas.openxmlformats.org/officeDocument/2006/relationships/chart" Target="../charts/chart3.xml"/><Relationship Id="rId10" Type="http://schemas.openxmlformats.org/officeDocument/2006/relationships/image" Target="../media/image8.emf"/><Relationship Id="rId4" Type="http://schemas.openxmlformats.org/officeDocument/2006/relationships/chart" Target="../charts/chart2.xml"/><Relationship Id="rId9" Type="http://schemas.openxmlformats.org/officeDocument/2006/relationships/image" Target="../media/image7.emf"/></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image" Target="../media/image17.png"/><Relationship Id="rId7" Type="http://schemas.openxmlformats.org/officeDocument/2006/relationships/image" Target="../media/image19.emf"/><Relationship Id="rId2" Type="http://schemas.openxmlformats.org/officeDocument/2006/relationships/image" Target="../media/image16.emf"/><Relationship Id="rId1" Type="http://schemas.openxmlformats.org/officeDocument/2006/relationships/image" Target="../media/image15.png"/><Relationship Id="rId6" Type="http://schemas.openxmlformats.org/officeDocument/2006/relationships/image" Target="../media/image4.emf"/><Relationship Id="rId5" Type="http://schemas.openxmlformats.org/officeDocument/2006/relationships/chart" Target="../charts/chart7.xml"/><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11206</xdr:rowOff>
    </xdr:from>
    <xdr:to>
      <xdr:col>10</xdr:col>
      <xdr:colOff>7648575</xdr:colOff>
      <xdr:row>1</xdr:row>
      <xdr:rowOff>839</xdr:rowOff>
    </xdr:to>
    <xdr:sp macro="" textlink="">
      <xdr:nvSpPr>
        <xdr:cNvPr id="7" name="TextBox 7">
          <a:extLst>
            <a:ext uri="{FF2B5EF4-FFF2-40B4-BE49-F238E27FC236}">
              <a16:creationId xmlns:a16="http://schemas.microsoft.com/office/drawing/2014/main" id="{00000000-0008-0000-0000-000007000000}"/>
            </a:ext>
          </a:extLst>
        </xdr:cNvPr>
        <xdr:cNvSpPr txBox="1"/>
      </xdr:nvSpPr>
      <xdr:spPr>
        <a:xfrm>
          <a:off x="0" y="11206"/>
          <a:ext cx="15621000" cy="60875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3600" b="1">
              <a:solidFill>
                <a:schemeClr val="bg1"/>
              </a:solidFill>
              <a:effectLst/>
              <a:latin typeface="+mn-lt"/>
              <a:ea typeface="+mn-ea"/>
              <a:cs typeface="+mn-cs"/>
            </a:rPr>
            <a:t>User Manual</a:t>
          </a:r>
          <a:r>
            <a:rPr lang="en-GB" sz="3600" b="1" baseline="0">
              <a:solidFill>
                <a:schemeClr val="bg1"/>
              </a:solidFill>
              <a:effectLst/>
              <a:latin typeface="+mn-lt"/>
              <a:ea typeface="+mn-ea"/>
              <a:cs typeface="+mn-cs"/>
            </a:rPr>
            <a:t> - </a:t>
          </a:r>
          <a:r>
            <a:rPr lang="en-GB" sz="3600" b="1">
              <a:solidFill>
                <a:schemeClr val="bg1"/>
              </a:solidFill>
              <a:effectLst/>
              <a:latin typeface="+mn-lt"/>
              <a:ea typeface="+mn-ea"/>
              <a:cs typeface="+mn-cs"/>
            </a:rPr>
            <a:t> Energy</a:t>
          </a:r>
          <a:r>
            <a:rPr lang="en-GB" sz="3600" b="1" baseline="0">
              <a:solidFill>
                <a:schemeClr val="bg1"/>
              </a:solidFill>
              <a:effectLst/>
              <a:latin typeface="+mn-lt"/>
              <a:ea typeface="+mn-ea"/>
              <a:cs typeface="+mn-cs"/>
            </a:rPr>
            <a:t> Market Scorecard v. 2024</a:t>
          </a:r>
          <a:endParaRPr lang="en-GB" sz="3600" b="1">
            <a:solidFill>
              <a:schemeClr val="bg1"/>
            </a:solidFill>
            <a:effectLst/>
          </a:endParaRPr>
        </a:p>
        <a:p>
          <a:pPr algn="ctr"/>
          <a:endParaRPr lang="en-GB" sz="1100">
            <a:solidFill>
              <a:srgbClr val="002060"/>
            </a:solidFill>
          </a:endParaRPr>
        </a:p>
      </xdr:txBody>
    </xdr:sp>
    <xdr:clientData/>
  </xdr:twoCellAnchor>
  <xdr:twoCellAnchor>
    <xdr:from>
      <xdr:col>1</xdr:col>
      <xdr:colOff>19050</xdr:colOff>
      <xdr:row>3</xdr:row>
      <xdr:rowOff>25400</xdr:rowOff>
    </xdr:from>
    <xdr:to>
      <xdr:col>8</xdr:col>
      <xdr:colOff>439964</xdr:colOff>
      <xdr:row>37</xdr:row>
      <xdr:rowOff>28575</xdr:rowOff>
    </xdr:to>
    <xdr:sp macro="" textlink="">
      <xdr:nvSpPr>
        <xdr:cNvPr id="4" name="Textfeld 3">
          <a:extLst>
            <a:ext uri="{FF2B5EF4-FFF2-40B4-BE49-F238E27FC236}">
              <a16:creationId xmlns:a16="http://schemas.microsoft.com/office/drawing/2014/main" id="{00000000-0008-0000-0000-000004000000}"/>
            </a:ext>
          </a:extLst>
        </xdr:cNvPr>
        <xdr:cNvSpPr txBox="1"/>
      </xdr:nvSpPr>
      <xdr:spPr>
        <a:xfrm>
          <a:off x="371475" y="1292225"/>
          <a:ext cx="7678964" cy="1000442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a:t>The </a:t>
          </a:r>
          <a:r>
            <a:rPr lang="en-GB" sz="1100" b="1"/>
            <a:t>Energy Market Scorecard</a:t>
          </a:r>
          <a:r>
            <a:rPr lang="en-GB" sz="1100" b="1" baseline="0"/>
            <a:t> </a:t>
          </a:r>
          <a:r>
            <a:rPr lang="en-GB" sz="1100" b="0" baseline="0"/>
            <a:t>is a tool to </a:t>
          </a:r>
          <a:r>
            <a:rPr lang="en-GB" sz="1100">
              <a:solidFill>
                <a:schemeClr val="dk1"/>
              </a:solidFill>
              <a:effectLst/>
              <a:latin typeface="+mn-lt"/>
              <a:ea typeface="+mn-ea"/>
              <a:cs typeface="+mn-cs"/>
            </a:rPr>
            <a:t>track energy access market changes using </a:t>
          </a:r>
          <a:r>
            <a:rPr lang="en-GB" sz="1100" b="1">
              <a:solidFill>
                <a:schemeClr val="dk1"/>
              </a:solidFill>
              <a:effectLst/>
              <a:latin typeface="+mn-lt"/>
              <a:ea typeface="+mn-ea"/>
              <a:cs typeface="+mn-cs"/>
            </a:rPr>
            <a:t>18 indicators and benchmarks for 38 variables</a:t>
          </a:r>
          <a:r>
            <a:rPr lang="en-GB" sz="1100">
              <a:solidFill>
                <a:schemeClr val="dk1"/>
              </a:solidFill>
              <a:effectLst/>
              <a:latin typeface="+mn-lt"/>
              <a:ea typeface="+mn-ea"/>
              <a:cs typeface="+mn-cs"/>
            </a:rPr>
            <a:t> at each phase of market development. This tracking can be used to: </a:t>
          </a:r>
        </a:p>
        <a:p>
          <a:pPr algn="l"/>
          <a:r>
            <a:rPr lang="en-GB" sz="1100">
              <a:solidFill>
                <a:schemeClr val="dk1"/>
              </a:solidFill>
              <a:effectLst/>
              <a:latin typeface="+mn-lt"/>
              <a:ea typeface="+mn-ea"/>
              <a:cs typeface="+mn-cs"/>
            </a:rPr>
            <a:t>  i) plan a</a:t>
          </a:r>
          <a:r>
            <a:rPr lang="en-GB" sz="1100" baseline="0">
              <a:solidFill>
                <a:schemeClr val="dk1"/>
              </a:solidFill>
              <a:effectLst/>
              <a:latin typeface="+mn-lt"/>
              <a:ea typeface="+mn-ea"/>
              <a:cs typeface="+mn-cs"/>
            </a:rPr>
            <a:t> project intended to support market development, </a:t>
          </a:r>
        </a:p>
        <a:p>
          <a:pPr algn="l"/>
          <a:r>
            <a:rPr lang="en-GB" sz="1100" baseline="0">
              <a:solidFill>
                <a:schemeClr val="dk1"/>
              </a:solidFill>
              <a:effectLst/>
              <a:latin typeface="+mn-lt"/>
              <a:ea typeface="+mn-ea"/>
              <a:cs typeface="+mn-cs"/>
            </a:rPr>
            <a:t>  ii) monitor market change and adapt project planning to a changing context,</a:t>
          </a:r>
        </a:p>
        <a:p>
          <a:pPr algn="l"/>
          <a:r>
            <a:rPr lang="en-GB" sz="1100" baseline="0">
              <a:solidFill>
                <a:schemeClr val="dk1"/>
              </a:solidFill>
              <a:effectLst/>
              <a:latin typeface="+mn-lt"/>
              <a:ea typeface="+mn-ea"/>
              <a:cs typeface="+mn-cs"/>
            </a:rPr>
            <a:t>  iii) establish indications of longer-term market progress. </a:t>
          </a:r>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r>
            <a:rPr lang="en-GB" sz="1100">
              <a:solidFill>
                <a:schemeClr val="dk1"/>
              </a:solidFill>
              <a:effectLst/>
              <a:latin typeface="+mn-lt"/>
              <a:ea typeface="+mn-ea"/>
              <a:cs typeface="+mn-cs"/>
            </a:rPr>
            <a:t>The tool is developed based on </a:t>
          </a:r>
          <a:r>
            <a:rPr lang="en-GB" sz="1100" baseline="0">
              <a:solidFill>
                <a:schemeClr val="dk1"/>
              </a:solidFill>
              <a:effectLst/>
              <a:latin typeface="+mn-lt"/>
              <a:ea typeface="+mn-ea"/>
              <a:cs typeface="+mn-cs"/>
            </a:rPr>
            <a:t>business development theories, recognising that markets exhibit different caracteristics at various stages of their development. In this tool, six distinct </a:t>
          </a:r>
          <a:r>
            <a:rPr lang="en-GB" sz="1100" b="1" baseline="0">
              <a:solidFill>
                <a:schemeClr val="dk1"/>
              </a:solidFill>
              <a:effectLst/>
              <a:latin typeface="+mn-lt"/>
              <a:ea typeface="+mn-ea"/>
              <a:cs typeface="+mn-cs"/>
            </a:rPr>
            <a:t>phases</a:t>
          </a:r>
          <a:r>
            <a:rPr lang="en-GB" sz="1100" baseline="0">
              <a:solidFill>
                <a:schemeClr val="dk1"/>
              </a:solidFill>
              <a:effectLst/>
              <a:latin typeface="+mn-lt"/>
              <a:ea typeface="+mn-ea"/>
              <a:cs typeface="+mn-cs"/>
            </a:rPr>
            <a:t> are identified:</a:t>
          </a:r>
        </a:p>
        <a:p>
          <a:pPr algn="l"/>
          <a:r>
            <a:rPr lang="en-GB" sz="1100" baseline="0">
              <a:solidFill>
                <a:schemeClr val="dk1"/>
              </a:solidFill>
              <a:effectLst/>
              <a:latin typeface="+mn-lt"/>
              <a:ea typeface="+mn-ea"/>
              <a:cs typeface="+mn-cs"/>
            </a:rPr>
            <a:t>  0) Pre-commercial</a:t>
          </a:r>
        </a:p>
        <a:p>
          <a:pPr algn="l"/>
          <a:r>
            <a:rPr lang="en-GB" sz="1100" baseline="0">
              <a:solidFill>
                <a:schemeClr val="dk1"/>
              </a:solidFill>
              <a:effectLst/>
              <a:latin typeface="+mn-lt"/>
              <a:ea typeface="+mn-ea"/>
              <a:cs typeface="+mn-cs"/>
            </a:rPr>
            <a:t>  I) Pioneering</a:t>
          </a:r>
        </a:p>
        <a:p>
          <a:pPr algn="l"/>
          <a:r>
            <a:rPr lang="en-GB" sz="1100" baseline="0">
              <a:solidFill>
                <a:schemeClr val="dk1"/>
              </a:solidFill>
              <a:effectLst/>
              <a:latin typeface="+mn-lt"/>
              <a:ea typeface="+mn-ea"/>
              <a:cs typeface="+mn-cs"/>
            </a:rPr>
            <a:t>  II) Expansion</a:t>
          </a:r>
        </a:p>
        <a:p>
          <a:pPr algn="l"/>
          <a:r>
            <a:rPr lang="en-GB" sz="1100" baseline="0">
              <a:solidFill>
                <a:schemeClr val="dk1"/>
              </a:solidFill>
              <a:effectLst/>
              <a:latin typeface="+mn-lt"/>
              <a:ea typeface="+mn-ea"/>
              <a:cs typeface="+mn-cs"/>
            </a:rPr>
            <a:t>  III) Maturity</a:t>
          </a:r>
        </a:p>
        <a:p>
          <a:pPr algn="l"/>
          <a:r>
            <a:rPr lang="en-GB" sz="1100" baseline="0">
              <a:solidFill>
                <a:schemeClr val="dk1"/>
              </a:solidFill>
              <a:effectLst/>
              <a:latin typeface="+mn-lt"/>
              <a:ea typeface="+mn-ea"/>
              <a:cs typeface="+mn-cs"/>
            </a:rPr>
            <a:t>  IV) Saturation</a:t>
          </a:r>
        </a:p>
        <a:p>
          <a:pPr algn="l"/>
          <a:r>
            <a:rPr lang="en-GB" sz="1100" baseline="0">
              <a:solidFill>
                <a:schemeClr val="dk1"/>
              </a:solidFill>
              <a:effectLst/>
              <a:latin typeface="+mn-lt"/>
              <a:ea typeface="+mn-ea"/>
              <a:cs typeface="+mn-cs"/>
            </a:rPr>
            <a:t>  V) Degeneration</a:t>
          </a:r>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endParaRPr lang="en-GB" sz="1100">
            <a:solidFill>
              <a:schemeClr val="dk1"/>
            </a:solidFill>
            <a:effectLst/>
            <a:latin typeface="+mn-lt"/>
            <a:ea typeface="+mn-ea"/>
            <a:cs typeface="+mn-cs"/>
          </a:endParaRPr>
        </a:p>
        <a:p>
          <a:pPr algn="l"/>
          <a:r>
            <a:rPr lang="en-GB" sz="1100">
              <a:solidFill>
                <a:schemeClr val="dk1"/>
              </a:solidFill>
              <a:effectLst/>
              <a:latin typeface="+mn-lt"/>
              <a:ea typeface="+mn-ea"/>
              <a:cs typeface="+mn-cs"/>
            </a:rPr>
            <a:t>The tool is intended to support market development projects</a:t>
          </a:r>
          <a:r>
            <a:rPr lang="en-GB" sz="1100" baseline="0">
              <a:solidFill>
                <a:schemeClr val="dk1"/>
              </a:solidFill>
              <a:effectLst/>
              <a:latin typeface="+mn-lt"/>
              <a:ea typeface="+mn-ea"/>
              <a:cs typeface="+mn-cs"/>
            </a:rPr>
            <a:t> in developing countries. Once market development reaches the maturity phase, such projects are no longer needed. Therefore, the tool is designed only for scoring Phases 0 - III.</a:t>
          </a:r>
        </a:p>
        <a:p>
          <a:pPr algn="l"/>
          <a:endParaRPr lang="en-GB" sz="1100">
            <a:solidFill>
              <a:schemeClr val="dk1"/>
            </a:solidFill>
            <a:effectLst/>
            <a:latin typeface="+mn-lt"/>
            <a:ea typeface="+mn-ea"/>
            <a:cs typeface="+mn-cs"/>
          </a:endParaRPr>
        </a:p>
        <a:p>
          <a:pPr algn="l"/>
          <a:r>
            <a:rPr lang="en-GB" sz="1100">
              <a:solidFill>
                <a:schemeClr val="dk1"/>
              </a:solidFill>
              <a:effectLst/>
              <a:latin typeface="+mn-lt"/>
              <a:ea typeface="+mn-ea"/>
              <a:cs typeface="+mn-cs"/>
            </a:rPr>
            <a:t>For</a:t>
          </a:r>
          <a:r>
            <a:rPr lang="en-GB" sz="1100" baseline="0">
              <a:solidFill>
                <a:schemeClr val="dk1"/>
              </a:solidFill>
              <a:effectLst/>
              <a:latin typeface="+mn-lt"/>
              <a:ea typeface="+mn-ea"/>
              <a:cs typeface="+mn-cs"/>
            </a:rPr>
            <a:t> each variable, </a:t>
          </a:r>
          <a:r>
            <a:rPr lang="en-GB" sz="1100" b="1" baseline="0">
              <a:solidFill>
                <a:schemeClr val="dk1"/>
              </a:solidFill>
              <a:effectLst/>
              <a:latin typeface="+mn-lt"/>
              <a:ea typeface="+mn-ea"/>
              <a:cs typeface="+mn-cs"/>
            </a:rPr>
            <a:t>benchmarks</a:t>
          </a:r>
          <a:r>
            <a:rPr lang="en-GB" sz="1100" baseline="0">
              <a:solidFill>
                <a:schemeClr val="dk1"/>
              </a:solidFill>
              <a:effectLst/>
              <a:latin typeface="+mn-lt"/>
              <a:ea typeface="+mn-ea"/>
              <a:cs typeface="+mn-cs"/>
            </a:rPr>
            <a:t> have been established to help users assess the market's progress in specific areas. For example, a variable could be "warranties", where trustworthy warranties indicate a mature market. While markets could theoretically develop linearly, in reality, market development is often uneven and may sometimes regress. To account for this, the tool provides detailed scoring for each variable and includes placeholders for </a:t>
          </a:r>
          <a:r>
            <a:rPr lang="en-GB" sz="1100" b="1" baseline="0">
              <a:solidFill>
                <a:schemeClr val="dk1"/>
              </a:solidFill>
              <a:effectLst/>
              <a:latin typeface="+mn-lt"/>
              <a:ea typeface="+mn-ea"/>
              <a:cs typeface="+mn-cs"/>
            </a:rPr>
            <a:t>narrative descriptions </a:t>
          </a:r>
          <a:r>
            <a:rPr lang="en-GB" sz="1100" baseline="0">
              <a:solidFill>
                <a:schemeClr val="dk1"/>
              </a:solidFill>
              <a:effectLst/>
              <a:latin typeface="+mn-lt"/>
              <a:ea typeface="+mn-ea"/>
              <a:cs typeface="+mn-cs"/>
            </a:rPr>
            <a:t>and </a:t>
          </a:r>
          <a:r>
            <a:rPr lang="en-GB" sz="1100" b="1" baseline="0">
              <a:solidFill>
                <a:schemeClr val="dk1"/>
              </a:solidFill>
              <a:effectLst/>
              <a:latin typeface="+mn-lt"/>
              <a:ea typeface="+mn-ea"/>
              <a:cs typeface="+mn-cs"/>
            </a:rPr>
            <a:t>information sources</a:t>
          </a:r>
          <a:r>
            <a:rPr lang="en-GB" sz="1100" b="0" baseline="0">
              <a:solidFill>
                <a:schemeClr val="dk1"/>
              </a:solidFill>
              <a:effectLst/>
              <a:latin typeface="+mn-lt"/>
              <a:ea typeface="+mn-ea"/>
              <a:cs typeface="+mn-cs"/>
            </a:rPr>
            <a:t>, offering a comprehensive view of market development for the reader.</a:t>
          </a:r>
        </a:p>
        <a:p>
          <a:pPr algn="l"/>
          <a:endParaRPr lang="en-GB" sz="1100">
            <a:solidFill>
              <a:schemeClr val="dk1"/>
            </a:solidFill>
            <a:effectLst/>
            <a:latin typeface="+mn-lt"/>
            <a:ea typeface="+mn-ea"/>
            <a:cs typeface="+mn-cs"/>
          </a:endParaRPr>
        </a:p>
        <a:p>
          <a:pPr algn="l"/>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analysis is visualised in a </a:t>
          </a:r>
          <a:r>
            <a:rPr lang="en-GB" sz="1100" b="1" baseline="0">
              <a:solidFill>
                <a:schemeClr val="dk1"/>
              </a:solidFill>
              <a:effectLst/>
              <a:latin typeface="+mn-lt"/>
              <a:ea typeface="+mn-ea"/>
              <a:cs typeface="+mn-cs"/>
            </a:rPr>
            <a:t>Dashboard</a:t>
          </a:r>
          <a:r>
            <a:rPr lang="en-GB" sz="1100" b="0" baseline="0">
              <a:solidFill>
                <a:schemeClr val="dk1"/>
              </a:solidFill>
              <a:effectLst/>
              <a:latin typeface="+mn-lt"/>
              <a:ea typeface="+mn-ea"/>
              <a:cs typeface="+mn-cs"/>
            </a:rPr>
            <a:t>. In addition, users can include previous market development scores and compare them in the </a:t>
          </a:r>
          <a:r>
            <a:rPr lang="en-GB" sz="1100" b="1" baseline="0">
              <a:solidFill>
                <a:schemeClr val="dk1"/>
              </a:solidFill>
              <a:effectLst/>
              <a:latin typeface="+mn-lt"/>
              <a:ea typeface="+mn-ea"/>
              <a:cs typeface="+mn-cs"/>
            </a:rPr>
            <a:t>Dashboard Comparison</a:t>
          </a:r>
          <a:r>
            <a:rPr lang="en-GB" sz="1100" b="0" baseline="0">
              <a:solidFill>
                <a:schemeClr val="dk1"/>
              </a:solidFill>
              <a:effectLst/>
              <a:latin typeface="+mn-lt"/>
              <a:ea typeface="+mn-ea"/>
              <a:cs typeface="+mn-cs"/>
            </a:rPr>
            <a:t> </a:t>
          </a:r>
          <a:endParaRPr lang="en-GB" sz="1100" b="0">
            <a:solidFill>
              <a:schemeClr val="dk1"/>
            </a:solidFill>
            <a:effectLst/>
            <a:latin typeface="+mn-lt"/>
            <a:ea typeface="+mn-ea"/>
            <a:cs typeface="+mn-cs"/>
          </a:endParaRPr>
        </a:p>
      </xdr:txBody>
    </xdr:sp>
    <xdr:clientData/>
  </xdr:twoCellAnchor>
  <xdr:twoCellAnchor editAs="oneCell">
    <xdr:from>
      <xdr:col>1</xdr:col>
      <xdr:colOff>137171</xdr:colOff>
      <xdr:row>8</xdr:row>
      <xdr:rowOff>41284</xdr:rowOff>
    </xdr:from>
    <xdr:to>
      <xdr:col>8</xdr:col>
      <xdr:colOff>150520</xdr:colOff>
      <xdr:row>14</xdr:row>
      <xdr:rowOff>34925</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rotWithShape="1">
        <a:blip xmlns:r="http://schemas.openxmlformats.org/officeDocument/2006/relationships" r:embed="rId1"/>
        <a:srcRect l="5052" t="49506" r="38583" b="30127"/>
        <a:stretch/>
      </xdr:blipFill>
      <xdr:spPr>
        <a:xfrm>
          <a:off x="470546" y="3994159"/>
          <a:ext cx="6928499" cy="1416041"/>
        </a:xfrm>
        <a:prstGeom prst="rect">
          <a:avLst/>
        </a:prstGeom>
      </xdr:spPr>
    </xdr:pic>
    <xdr:clientData/>
  </xdr:twoCellAnchor>
  <xdr:twoCellAnchor editAs="oneCell">
    <xdr:from>
      <xdr:col>1</xdr:col>
      <xdr:colOff>124957</xdr:colOff>
      <xdr:row>14</xdr:row>
      <xdr:rowOff>49368</xdr:rowOff>
    </xdr:from>
    <xdr:to>
      <xdr:col>8</xdr:col>
      <xdr:colOff>132424</xdr:colOff>
      <xdr:row>28</xdr:row>
      <xdr:rowOff>20740</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2"/>
        <a:srcRect l="2065" t="30844" r="44360" b="20709"/>
        <a:stretch/>
      </xdr:blipFill>
      <xdr:spPr>
        <a:xfrm>
          <a:off x="458332" y="5430993"/>
          <a:ext cx="6922617" cy="3771847"/>
        </a:xfrm>
        <a:prstGeom prst="rect">
          <a:avLst/>
        </a:prstGeom>
      </xdr:spPr>
    </xdr:pic>
    <xdr:clientData/>
  </xdr:twoCellAnchor>
  <xdr:twoCellAnchor>
    <xdr:from>
      <xdr:col>9</xdr:col>
      <xdr:colOff>241299</xdr:colOff>
      <xdr:row>3</xdr:row>
      <xdr:rowOff>20543</xdr:rowOff>
    </xdr:from>
    <xdr:to>
      <xdr:col>10</xdr:col>
      <xdr:colOff>7674348</xdr:colOff>
      <xdr:row>8</xdr:row>
      <xdr:rowOff>47625</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8356599" y="1287368"/>
          <a:ext cx="7690224" cy="2713132"/>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rgbClr val="002060"/>
              </a:solidFill>
            </a:rPr>
            <a:t>1. Boundaries</a:t>
          </a:r>
          <a:r>
            <a:rPr lang="en-GB" sz="2400" b="1" baseline="0">
              <a:solidFill>
                <a:srgbClr val="002060"/>
              </a:solidFill>
            </a:rPr>
            <a:t> and Process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At the top, you can select the </a:t>
          </a:r>
          <a:r>
            <a:rPr lang="en-GB" sz="1100" b="1" baseline="0">
              <a:solidFill>
                <a:schemeClr val="dk1"/>
              </a:solidFill>
              <a:effectLst/>
              <a:latin typeface="+mn-lt"/>
              <a:ea typeface="+mn-ea"/>
              <a:cs typeface="+mn-cs"/>
            </a:rPr>
            <a:t>French </a:t>
          </a:r>
          <a:r>
            <a:rPr lang="en-GB" sz="1100" b="0" baseline="0">
              <a:solidFill>
                <a:schemeClr val="dk1"/>
              </a:solidFill>
              <a:effectLst/>
              <a:latin typeface="+mn-lt"/>
              <a:ea typeface="+mn-ea"/>
              <a:cs typeface="+mn-cs"/>
            </a:rPr>
            <a:t>language version of the tool.</a:t>
          </a:r>
          <a:endParaRPr lang="en-DK">
            <a:effectLst/>
          </a:endParaRPr>
        </a:p>
        <a:p>
          <a:endParaRPr lang="en-GB" sz="1100" b="0">
            <a:solidFill>
              <a:sysClr val="windowText" lastClr="000000"/>
            </a:solidFill>
          </a:endParaRPr>
        </a:p>
        <a:p>
          <a:r>
            <a:rPr lang="en-GB" sz="1100" b="0">
              <a:solidFill>
                <a:sysClr val="windowText" lastClr="000000"/>
              </a:solidFill>
            </a:rPr>
            <a:t>In this tab, you</a:t>
          </a:r>
          <a:r>
            <a:rPr lang="en-GB" sz="1100" b="0" baseline="0">
              <a:solidFill>
                <a:sysClr val="windowText" lastClr="000000"/>
              </a:solidFill>
            </a:rPr>
            <a:t> </a:t>
          </a:r>
          <a:r>
            <a:rPr lang="en-GB" sz="1100" b="1" baseline="0">
              <a:solidFill>
                <a:sysClr val="windowText" lastClr="000000"/>
              </a:solidFill>
            </a:rPr>
            <a:t>d</a:t>
          </a:r>
          <a:r>
            <a:rPr lang="en-GB" sz="1100" b="1">
              <a:solidFill>
                <a:sysClr val="windowText" lastClr="000000"/>
              </a:solidFill>
            </a:rPr>
            <a:t>efine</a:t>
          </a:r>
          <a:r>
            <a:rPr lang="en-GB" sz="1100" b="0">
              <a:solidFill>
                <a:sysClr val="windowText" lastClr="000000"/>
              </a:solidFill>
            </a:rPr>
            <a:t> </a:t>
          </a:r>
          <a:r>
            <a:rPr lang="en-GB" sz="1100"/>
            <a:t>your time frame and your market: </a:t>
          </a:r>
        </a:p>
        <a:p>
          <a:r>
            <a:rPr lang="en-GB" sz="1100">
              <a:solidFill>
                <a:schemeClr val="dk1"/>
              </a:solidFill>
              <a:effectLst/>
              <a:latin typeface="+mn-lt"/>
              <a:ea typeface="+mn-ea"/>
              <a:cs typeface="+mn-cs"/>
            </a:rPr>
            <a:t>        i. Country name</a:t>
          </a:r>
          <a:endParaRPr lang="en-GB">
            <a:effectLst/>
          </a:endParaRPr>
        </a:p>
        <a:p>
          <a:r>
            <a:rPr lang="en-GB" sz="1100">
              <a:solidFill>
                <a:schemeClr val="dk1"/>
              </a:solidFill>
              <a:effectLst/>
              <a:latin typeface="+mn-lt"/>
              <a:ea typeface="+mn-ea"/>
              <a:cs typeface="+mn-cs"/>
            </a:rPr>
            <a:t>        ii. Year of assessment</a:t>
          </a:r>
          <a:endParaRPr lang="en-GB">
            <a:effectLst/>
          </a:endParaRPr>
        </a:p>
        <a:p>
          <a:r>
            <a:rPr lang="en-GB" sz="1100">
              <a:solidFill>
                <a:schemeClr val="dk1"/>
              </a:solidFill>
              <a:effectLst/>
              <a:latin typeface="+mn-lt"/>
              <a:ea typeface="+mn-ea"/>
              <a:cs typeface="+mn-cs"/>
            </a:rPr>
            <a:t>        iii. Technology (select from the drop-down list)</a:t>
          </a:r>
        </a:p>
        <a:p>
          <a:endParaRPr lang="en-GB" sz="1100">
            <a:solidFill>
              <a:schemeClr val="dk1"/>
            </a:solidFill>
            <a:effectLst/>
            <a:latin typeface="+mn-lt"/>
            <a:ea typeface="+mn-ea"/>
            <a:cs typeface="+mn-cs"/>
          </a:endParaRPr>
        </a:p>
        <a:p>
          <a:r>
            <a:rPr lang="en-GB" sz="1100" baseline="0">
              <a:solidFill>
                <a:schemeClr val="dk1"/>
              </a:solidFill>
              <a:effectLst/>
              <a:latin typeface="+mn-lt"/>
              <a:ea typeface="+mn-ea"/>
              <a:cs typeface="+mn-cs"/>
            </a:rPr>
            <a:t>If applicable, specify any </a:t>
          </a:r>
          <a:r>
            <a:rPr lang="en-GB" sz="1100" b="1" baseline="0">
              <a:solidFill>
                <a:schemeClr val="dk1"/>
              </a:solidFill>
              <a:effectLst/>
              <a:latin typeface="+mn-lt"/>
              <a:ea typeface="+mn-ea"/>
              <a:cs typeface="+mn-cs"/>
            </a:rPr>
            <a:t>boundaries</a:t>
          </a:r>
          <a:r>
            <a:rPr lang="en-GB" sz="1100" baseline="0">
              <a:solidFill>
                <a:schemeClr val="dk1"/>
              </a:solidFill>
              <a:effectLst/>
              <a:latin typeface="+mn-lt"/>
              <a:ea typeface="+mn-ea"/>
              <a:cs typeface="+mn-cs"/>
            </a:rPr>
            <a:t> for the assesment. For example, are you assessing only a specific geographic region within a country, a particular type of the chosen technology, or the market for a specific end-user group?</a:t>
          </a:r>
          <a:endParaRPr lang="en-GB">
            <a:effectLst/>
          </a:endParaRPr>
        </a:p>
        <a:p>
          <a:endParaRPr lang="en-GB" sz="1100"/>
        </a:p>
        <a:p>
          <a:r>
            <a:rPr lang="en-GB" sz="1100"/>
            <a:t>In addition, indicate </a:t>
          </a:r>
          <a:r>
            <a:rPr lang="en-GB" sz="1100" b="1"/>
            <a:t>who is filling in the scorecard</a:t>
          </a:r>
          <a:r>
            <a:rPr lang="en-GB" sz="1100"/>
            <a:t> (external assessment incorporating multiple perspectives from the sector, expert group, team effort to avoid personal bias, or a single</a:t>
          </a:r>
          <a:r>
            <a:rPr lang="en-GB" sz="1100" baseline="0"/>
            <a:t> team member) and the </a:t>
          </a:r>
          <a:r>
            <a:rPr lang="en-GB" sz="1100" b="1" baseline="0"/>
            <a:t>written sources of information </a:t>
          </a:r>
          <a:r>
            <a:rPr lang="en-GB" sz="1100" baseline="0"/>
            <a:t>used. These sources could include progress reports, studies or surveys, evaluations, or market descriptions by third parties.</a:t>
          </a:r>
        </a:p>
      </xdr:txBody>
    </xdr:sp>
    <xdr:clientData/>
  </xdr:twoCellAnchor>
  <xdr:twoCellAnchor>
    <xdr:from>
      <xdr:col>9</xdr:col>
      <xdr:colOff>247648</xdr:colOff>
      <xdr:row>8</xdr:row>
      <xdr:rowOff>145143</xdr:rowOff>
    </xdr:from>
    <xdr:to>
      <xdr:col>10</xdr:col>
      <xdr:colOff>7696200</xdr:colOff>
      <xdr:row>20</xdr:row>
      <xdr:rowOff>34925</xdr:rowOff>
    </xdr:to>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8362948" y="4098018"/>
          <a:ext cx="7705727" cy="321400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rgbClr val="002060"/>
              </a:solidFill>
            </a:rPr>
            <a:t>2. Filling in the Scorecard</a:t>
          </a:r>
        </a:p>
        <a:p>
          <a:r>
            <a:rPr lang="en-GB" sz="1100"/>
            <a:t>In</a:t>
          </a:r>
          <a:r>
            <a:rPr lang="en-GB" sz="1100" baseline="0"/>
            <a:t> th</a:t>
          </a:r>
          <a:r>
            <a:rPr lang="en-GB" sz="1100"/>
            <a:t>e next tabs</a:t>
          </a:r>
          <a:r>
            <a:rPr lang="en-GB" sz="1100" baseline="0"/>
            <a:t> </a:t>
          </a:r>
          <a:r>
            <a:rPr lang="en-GB" sz="1100" b="1" baseline="0"/>
            <a:t>- Demand side, Supply side, and Enabling environment </a:t>
          </a:r>
          <a:r>
            <a:rPr lang="en-GB" sz="1100" baseline="0"/>
            <a:t>- you will score the market.</a:t>
          </a:r>
          <a:endParaRPr lang="en-GB" sz="1100"/>
        </a:p>
        <a:p>
          <a:r>
            <a:rPr lang="en-GB" sz="1100"/>
            <a:t>Each variable includes two questions:</a:t>
          </a:r>
        </a:p>
        <a:p>
          <a:r>
            <a:rPr lang="en-GB" sz="1100" baseline="0"/>
            <a:t>      - </a:t>
          </a:r>
          <a:r>
            <a:rPr lang="en-GB" sz="1100"/>
            <a:t>Which benchmark</a:t>
          </a:r>
          <a:r>
            <a:rPr lang="en-GB" sz="1100" baseline="0"/>
            <a:t> description</a:t>
          </a:r>
          <a:r>
            <a:rPr lang="en-GB" sz="1100"/>
            <a:t> best describes the current</a:t>
          </a:r>
          <a:r>
            <a:rPr lang="en-GB" sz="1100" baseline="0"/>
            <a:t> state</a:t>
          </a:r>
          <a:r>
            <a:rPr lang="en-GB" sz="1100"/>
            <a:t>?</a:t>
          </a:r>
        </a:p>
        <a:p>
          <a:r>
            <a:rPr lang="en-GB" sz="1100"/>
            <a:t>      - What is the trend</a:t>
          </a:r>
          <a:r>
            <a:rPr lang="en-GB" sz="1100" baseline="0"/>
            <a:t> over the past three years? </a:t>
          </a:r>
        </a:p>
        <a:p>
          <a:endParaRPr lang="en-GB" sz="1100"/>
        </a:p>
        <a:p>
          <a:r>
            <a:rPr lang="en-GB" sz="1100"/>
            <a:t> </a:t>
          </a:r>
          <a:r>
            <a:rPr lang="en-GB" sz="1100" b="1"/>
            <a:t>For each variable</a:t>
          </a:r>
          <a:r>
            <a:rPr lang="en-GB" sz="1100"/>
            <a:t>:</a:t>
          </a:r>
        </a:p>
        <a:p>
          <a:r>
            <a:rPr lang="en-GB" sz="1100"/>
            <a:t>        i. </a:t>
          </a:r>
          <a:r>
            <a:rPr lang="en-GB" sz="1100" b="1"/>
            <a:t>Select the market phase </a:t>
          </a:r>
          <a:r>
            <a:rPr lang="en-GB" sz="1100"/>
            <a:t>that best suits the current situation from the drop-down list based on the benchmarks</a:t>
          </a:r>
          <a:r>
            <a:rPr lang="en-GB" sz="1100" baseline="0"/>
            <a:t> </a:t>
          </a:r>
          <a:r>
            <a:rPr lang="en-GB" sz="1100"/>
            <a:t>provided.</a:t>
          </a:r>
        </a:p>
        <a:p>
          <a:r>
            <a:rPr lang="en-GB" sz="1100" baseline="0"/>
            <a:t> </a:t>
          </a:r>
          <a:r>
            <a:rPr lang="en-GB" sz="1100"/>
            <a:t>       ii. </a:t>
          </a:r>
          <a:r>
            <a:rPr lang="en-GB" sz="1100" b="1"/>
            <a:t>Select the market trend </a:t>
          </a:r>
          <a:r>
            <a:rPr lang="en-GB" sz="1100"/>
            <a:t>from the drop-down list. </a:t>
          </a:r>
        </a:p>
        <a:p>
          <a:r>
            <a:rPr lang="en-GB" sz="1100"/>
            <a:t>        iii. </a:t>
          </a:r>
          <a:r>
            <a:rPr lang="en-GB" sz="1100" b="1"/>
            <a:t>Briefly explain </a:t>
          </a:r>
          <a:r>
            <a:rPr lang="en-GB" sz="1100" b="0"/>
            <a:t>your </a:t>
          </a:r>
          <a:r>
            <a:rPr lang="en-GB" sz="1100"/>
            <a:t>choice of market phase and trend. </a:t>
          </a:r>
        </a:p>
        <a:p>
          <a:r>
            <a:rPr lang="en-GB" sz="1100"/>
            <a:t>   </a:t>
          </a:r>
          <a:r>
            <a:rPr lang="en-GB" sz="1100" baseline="0"/>
            <a:t> </a:t>
          </a:r>
          <a:r>
            <a:rPr lang="en-GB" sz="1100"/>
            <a:t>    iv. </a:t>
          </a:r>
          <a:r>
            <a:rPr lang="en-GB" sz="1100" b="1"/>
            <a:t>Select the data source </a:t>
          </a:r>
          <a:r>
            <a:rPr lang="en-GB" sz="1100" b="0"/>
            <a:t>for</a:t>
          </a:r>
          <a:r>
            <a:rPr lang="en-GB" sz="1100"/>
            <a:t> your assessment from the drop-down list</a:t>
          </a:r>
        </a:p>
        <a:p>
          <a:endParaRPr lang="en-GB" sz="1100"/>
        </a:p>
        <a:p>
          <a:r>
            <a:rPr lang="en-GB" sz="1100"/>
            <a:t>At the top, </a:t>
          </a:r>
          <a:r>
            <a:rPr lang="en-GB" sz="1100" b="1">
              <a:solidFill>
                <a:schemeClr val="dk1"/>
              </a:solidFill>
              <a:effectLst/>
              <a:latin typeface="+mn-lt"/>
              <a:ea typeface="+mn-ea"/>
              <a:cs typeface="+mn-cs"/>
            </a:rPr>
            <a:t>briefly</a:t>
          </a:r>
          <a:r>
            <a:rPr lang="en-GB" sz="1100" b="1" baseline="0">
              <a:solidFill>
                <a:schemeClr val="dk1"/>
              </a:solidFill>
              <a:effectLst/>
              <a:latin typeface="+mn-lt"/>
              <a:ea typeface="+mn-ea"/>
              <a:cs typeface="+mn-cs"/>
            </a:rPr>
            <a:t> describe the overall picture that the scoring reveals</a:t>
          </a:r>
          <a:r>
            <a:rPr lang="en-GB" sz="1100" b="0" baseline="0">
              <a:solidFill>
                <a:schemeClr val="dk1"/>
              </a:solidFill>
              <a:effectLst/>
              <a:latin typeface="+mn-lt"/>
              <a:ea typeface="+mn-ea"/>
              <a:cs typeface="+mn-cs"/>
            </a:rPr>
            <a:t>, then move on to the next sheet.</a:t>
          </a:r>
        </a:p>
        <a:p>
          <a:endParaRPr lang="en-GB" sz="1100" b="0" baseline="0">
            <a:solidFill>
              <a:schemeClr val="dk1"/>
            </a:solidFill>
            <a:effectLst/>
            <a:latin typeface="+mn-lt"/>
            <a:ea typeface="+mn-ea"/>
            <a:cs typeface="+mn-cs"/>
          </a:endParaRPr>
        </a:p>
        <a:p>
          <a:r>
            <a:rPr lang="en-GB" sz="1100" b="0" baseline="0">
              <a:solidFill>
                <a:schemeClr val="dk1"/>
              </a:solidFill>
              <a:effectLst/>
              <a:latin typeface="+mn-lt"/>
              <a:ea typeface="+mn-ea"/>
              <a:cs typeface="+mn-cs"/>
            </a:rPr>
            <a:t>TIP: A logical sequence is to start with Demand, then move to Supply, and finally the Enabling environment. However, you can adjust this sequence based on your planned process. You could also organise a workshop with three breakout rooms - one for each dimension - and then reconvene for a plenary presentation.</a:t>
          </a:r>
          <a:endParaRPr lang="en-GB" b="0">
            <a:effectLst/>
          </a:endParaRPr>
        </a:p>
        <a:p>
          <a:endParaRPr lang="en-GB" sz="1100"/>
        </a:p>
      </xdr:txBody>
    </xdr:sp>
    <xdr:clientData/>
  </xdr:twoCellAnchor>
  <xdr:twoCellAnchor>
    <xdr:from>
      <xdr:col>9</xdr:col>
      <xdr:colOff>234950</xdr:colOff>
      <xdr:row>28</xdr:row>
      <xdr:rowOff>209095</xdr:rowOff>
    </xdr:from>
    <xdr:to>
      <xdr:col>10</xdr:col>
      <xdr:colOff>7683500</xdr:colOff>
      <xdr:row>56</xdr:row>
      <xdr:rowOff>63500</xdr:rowOff>
    </xdr:to>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8350250" y="9391195"/>
          <a:ext cx="7705725" cy="555035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rgbClr val="002060"/>
              </a:solidFill>
            </a:rPr>
            <a:t>4. Compare</a:t>
          </a:r>
          <a:r>
            <a:rPr lang="en-GB" sz="2400" b="1" baseline="0">
              <a:solidFill>
                <a:srgbClr val="002060"/>
              </a:solidFill>
            </a:rPr>
            <a:t> with</a:t>
          </a:r>
          <a:r>
            <a:rPr lang="en-GB" sz="2400" b="1">
              <a:solidFill>
                <a:srgbClr val="002060"/>
              </a:solidFill>
            </a:rPr>
            <a:t> previous results</a:t>
          </a:r>
        </a:p>
        <a:p>
          <a:r>
            <a:rPr lang="en-GB" sz="1100" b="0"/>
            <a:t>In the </a:t>
          </a:r>
          <a:r>
            <a:rPr lang="en-GB" sz="1100" b="1"/>
            <a:t>EAMD Scorecard </a:t>
          </a:r>
          <a:r>
            <a:rPr lang="en-GB" sz="1100" b="0"/>
            <a:t>tab, you can input previous</a:t>
          </a:r>
          <a:r>
            <a:rPr lang="en-GB" sz="1100" b="0" baseline="0"/>
            <a:t> EAMDs to allow for comparison.</a:t>
          </a:r>
          <a:endParaRPr lang="en-GB" sz="1100" b="0"/>
        </a:p>
        <a:p>
          <a:r>
            <a:rPr lang="en-GB" sz="1100"/>
            <a:t>To input</a:t>
          </a:r>
          <a:r>
            <a:rPr lang="en-GB" sz="1100" baseline="0"/>
            <a:t> previous EAMDs:</a:t>
          </a:r>
          <a:endParaRPr lang="en-GB" sz="1100"/>
        </a:p>
        <a:p>
          <a:r>
            <a:rPr lang="en-GB" sz="1100"/>
            <a:t>             a. For older versions of the EAMD-tool: </a:t>
          </a:r>
        </a:p>
        <a:p>
          <a:r>
            <a:rPr lang="en-GB" sz="1100" b="1"/>
            <a:t>	- In the old sheet, </a:t>
          </a:r>
          <a:r>
            <a:rPr lang="en-GB" sz="1100" b="0"/>
            <a:t>select the tab where the variables were scored. This tab may</a:t>
          </a:r>
          <a:r>
            <a:rPr lang="en-GB" sz="1100" b="0" baseline="0"/>
            <a:t> </a:t>
          </a:r>
          <a:r>
            <a:rPr lang="en-GB" sz="1100" b="0"/>
            <a:t>be called</a:t>
          </a:r>
          <a:r>
            <a:rPr lang="en-GB" sz="1100" b="0" baseline="0"/>
            <a:t> </a:t>
          </a:r>
          <a:r>
            <a:rPr lang="en-GB" sz="1100" b="1" baseline="0"/>
            <a:t>Scorecard xxxx</a:t>
          </a:r>
          <a:r>
            <a:rPr lang="en-GB" sz="1100" b="0" baseline="0"/>
            <a:t>, </a:t>
          </a:r>
          <a:r>
            <a:rPr lang="en-GB" sz="1100" b="1" baseline="0"/>
            <a:t>Baseline 	</a:t>
          </a:r>
          <a:r>
            <a:rPr lang="en-GB" sz="1100" b="0" baseline="0"/>
            <a:t>or </a:t>
          </a:r>
          <a:r>
            <a:rPr lang="en-GB" sz="1100" b="1" baseline="0"/>
            <a:t>End assessement.</a:t>
          </a:r>
        </a:p>
        <a:p>
          <a:r>
            <a:rPr lang="en-GB" sz="1100" b="1" baseline="0"/>
            <a:t>	- </a:t>
          </a:r>
          <a:r>
            <a:rPr lang="en-GB" sz="1100" b="0" baseline="0"/>
            <a:t>Select the </a:t>
          </a:r>
          <a:r>
            <a:rPr lang="en-GB" sz="1100" b="1" baseline="0"/>
            <a:t>Energy market scores</a:t>
          </a:r>
          <a:r>
            <a:rPr lang="en-GB" sz="1100" b="0" baseline="0"/>
            <a:t> where information has been inputted</a:t>
          </a:r>
          <a:r>
            <a:rPr lang="en-GB" sz="1100" b="1" baseline="0"/>
            <a:t>: J5:P61.</a:t>
          </a:r>
          <a:endParaRPr lang="en-GB" sz="1100" b="0" baseline="0"/>
        </a:p>
        <a:p>
          <a:r>
            <a:rPr lang="en-GB" sz="1100" b="0" baseline="0"/>
            <a:t>	- </a:t>
          </a:r>
          <a:r>
            <a:rPr lang="en-GB" sz="1100" b="1" baseline="0"/>
            <a:t>In this sheet</a:t>
          </a:r>
          <a:r>
            <a:rPr lang="en-GB" sz="1100" b="0" baseline="0"/>
            <a:t>: Paste the values in either </a:t>
          </a:r>
          <a:r>
            <a:rPr lang="en-GB" sz="1100" b="1" baseline="0"/>
            <a:t>J6:P62</a:t>
          </a:r>
          <a:r>
            <a:rPr lang="en-GB" sz="1100" b="0" baseline="0"/>
            <a:t> or </a:t>
          </a:r>
          <a:r>
            <a:rPr lang="en-GB" sz="1100" b="1" baseline="0"/>
            <a:t>R6:X62 </a:t>
          </a:r>
          <a:r>
            <a:rPr lang="en-GB" sz="1100" b="0" baseline="0"/>
            <a:t>in the </a:t>
          </a:r>
          <a:r>
            <a:rPr lang="en-GB" sz="1100" b="1" baseline="0"/>
            <a:t>EAMD Scorecard </a:t>
          </a:r>
          <a:r>
            <a:rPr lang="en-GB" sz="1100" b="0" baseline="0">
              <a:solidFill>
                <a:schemeClr val="dk1"/>
              </a:solidFill>
              <a:effectLst/>
              <a:latin typeface="+mn-lt"/>
              <a:ea typeface="+mn-ea"/>
              <a:cs typeface="+mn-cs"/>
            </a:rPr>
            <a:t>tab.</a:t>
          </a:r>
          <a:endParaRPr lang="en-GB" sz="1100" b="1"/>
        </a:p>
        <a:p>
          <a:r>
            <a:rPr lang="en-GB" sz="1100"/>
            <a:t>             b. For versions of the EAMD</a:t>
          </a:r>
          <a:r>
            <a:rPr lang="en-GB" sz="1100" baseline="0"/>
            <a:t> </a:t>
          </a:r>
          <a:r>
            <a:rPr lang="en-GB" sz="1100"/>
            <a:t>tool similar to this one:</a:t>
          </a:r>
        </a:p>
        <a:p>
          <a:r>
            <a:rPr lang="en-GB" sz="1100" b="1">
              <a:solidFill>
                <a:schemeClr val="dk1"/>
              </a:solidFill>
              <a:effectLst/>
              <a:latin typeface="+mn-lt"/>
              <a:ea typeface="+mn-ea"/>
              <a:cs typeface="+mn-cs"/>
            </a:rPr>
            <a:t>	- In the old sheet, </a:t>
          </a:r>
          <a:r>
            <a:rPr lang="en-GB" sz="1100" b="0">
              <a:solidFill>
                <a:schemeClr val="dk1"/>
              </a:solidFill>
              <a:effectLst/>
              <a:latin typeface="+mn-lt"/>
              <a:ea typeface="+mn-ea"/>
              <a:cs typeface="+mn-cs"/>
            </a:rPr>
            <a:t>select the </a:t>
          </a:r>
          <a:r>
            <a:rPr lang="en-GB" sz="1100" b="1">
              <a:solidFill>
                <a:schemeClr val="dk1"/>
              </a:solidFill>
              <a:effectLst/>
              <a:latin typeface="+mn-lt"/>
              <a:ea typeface="+mn-ea"/>
              <a:cs typeface="+mn-cs"/>
            </a:rPr>
            <a:t>EAMD</a:t>
          </a:r>
          <a:r>
            <a:rPr lang="en-GB" sz="1100" b="1" baseline="0">
              <a:solidFill>
                <a:schemeClr val="dk1"/>
              </a:solidFill>
              <a:effectLst/>
              <a:latin typeface="+mn-lt"/>
              <a:ea typeface="+mn-ea"/>
              <a:cs typeface="+mn-cs"/>
            </a:rPr>
            <a:t> Scorecard</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tab.</a:t>
          </a:r>
          <a:endParaRPr lang="en-GB">
            <a:effectLst/>
          </a:endParaRPr>
        </a:p>
        <a:p>
          <a:r>
            <a:rPr lang="en-GB" sz="1100" b="1" baseline="0">
              <a:solidFill>
                <a:schemeClr val="dk1"/>
              </a:solidFill>
              <a:effectLst/>
              <a:latin typeface="+mn-lt"/>
              <a:ea typeface="+mn-ea"/>
              <a:cs typeface="+mn-cs"/>
            </a:rPr>
            <a:t>	- </a:t>
          </a:r>
          <a:r>
            <a:rPr lang="en-GB" sz="1100" b="0" baseline="0">
              <a:solidFill>
                <a:schemeClr val="dk1"/>
              </a:solidFill>
              <a:effectLst/>
              <a:latin typeface="+mn-lt"/>
              <a:ea typeface="+mn-ea"/>
              <a:cs typeface="+mn-cs"/>
            </a:rPr>
            <a:t>Select the </a:t>
          </a:r>
          <a:r>
            <a:rPr lang="en-GB" sz="1100" b="1" baseline="0">
              <a:solidFill>
                <a:schemeClr val="dk1"/>
              </a:solidFill>
              <a:effectLst/>
              <a:latin typeface="+mn-lt"/>
              <a:ea typeface="+mn-ea"/>
              <a:cs typeface="+mn-cs"/>
            </a:rPr>
            <a:t>Energy Market scores</a:t>
          </a:r>
          <a:r>
            <a:rPr lang="en-GB" sz="1100" b="0" baseline="0">
              <a:solidFill>
                <a:schemeClr val="dk1"/>
              </a:solidFill>
              <a:effectLst/>
              <a:latin typeface="+mn-lt"/>
              <a:ea typeface="+mn-ea"/>
              <a:cs typeface="+mn-cs"/>
            </a:rPr>
            <a:t> where inputs from the Demand side, Supply side and Enabling environment tabs 	are shown including productive use (PU)</a:t>
          </a:r>
          <a:r>
            <a:rPr lang="en-GB" sz="1100" b="1" baseline="0">
              <a:solidFill>
                <a:schemeClr val="dk1"/>
              </a:solidFill>
              <a:effectLst/>
              <a:latin typeface="+mn-lt"/>
              <a:ea typeface="+mn-ea"/>
              <a:cs typeface="+mn-cs"/>
            </a:rPr>
            <a:t>: B6:H65.</a:t>
          </a:r>
          <a:endParaRPr lang="en-GB">
            <a:effectLst/>
          </a:endParaRPr>
        </a:p>
        <a:p>
          <a:r>
            <a:rPr lang="en-GB" sz="1100" b="0" baseline="0">
              <a:solidFill>
                <a:schemeClr val="dk1"/>
              </a:solidFill>
              <a:effectLst/>
              <a:latin typeface="+mn-lt"/>
              <a:ea typeface="+mn-ea"/>
              <a:cs typeface="+mn-cs"/>
            </a:rPr>
            <a:t>	- </a:t>
          </a:r>
          <a:r>
            <a:rPr lang="en-GB" sz="1100" b="1" baseline="0">
              <a:solidFill>
                <a:schemeClr val="dk1"/>
              </a:solidFill>
              <a:effectLst/>
              <a:latin typeface="+mn-lt"/>
              <a:ea typeface="+mn-ea"/>
              <a:cs typeface="+mn-cs"/>
            </a:rPr>
            <a:t>In this sheet</a:t>
          </a:r>
          <a:r>
            <a:rPr lang="en-GB" sz="1100" b="0" baseline="0">
              <a:solidFill>
                <a:schemeClr val="dk1"/>
              </a:solidFill>
              <a:effectLst/>
              <a:latin typeface="+mn-lt"/>
              <a:ea typeface="+mn-ea"/>
              <a:cs typeface="+mn-cs"/>
            </a:rPr>
            <a:t>, paste the values in either </a:t>
          </a:r>
          <a:r>
            <a:rPr lang="en-GB" sz="1100" b="1" baseline="0">
              <a:solidFill>
                <a:schemeClr val="dk1"/>
              </a:solidFill>
              <a:effectLst/>
              <a:latin typeface="+mn-lt"/>
              <a:ea typeface="+mn-ea"/>
              <a:cs typeface="+mn-cs"/>
            </a:rPr>
            <a:t>K6:Q65</a:t>
          </a:r>
          <a:r>
            <a:rPr lang="en-GB" sz="1100" b="0" baseline="0">
              <a:solidFill>
                <a:schemeClr val="dk1"/>
              </a:solidFill>
              <a:effectLst/>
              <a:latin typeface="+mn-lt"/>
              <a:ea typeface="+mn-ea"/>
              <a:cs typeface="+mn-cs"/>
            </a:rPr>
            <a:t> or </a:t>
          </a:r>
          <a:r>
            <a:rPr lang="en-GB" sz="1100" b="1" baseline="0">
              <a:solidFill>
                <a:schemeClr val="dk1"/>
              </a:solidFill>
              <a:effectLst/>
              <a:latin typeface="+mn-lt"/>
              <a:ea typeface="+mn-ea"/>
              <a:cs typeface="+mn-cs"/>
            </a:rPr>
            <a:t>S6:Y65 </a:t>
          </a:r>
          <a:r>
            <a:rPr lang="en-GB" sz="1100" b="0" baseline="0">
              <a:solidFill>
                <a:schemeClr val="dk1"/>
              </a:solidFill>
              <a:effectLst/>
              <a:latin typeface="+mn-lt"/>
              <a:ea typeface="+mn-ea"/>
              <a:cs typeface="+mn-cs"/>
            </a:rPr>
            <a:t>in the </a:t>
          </a:r>
          <a:r>
            <a:rPr lang="en-GB" sz="1100" b="1" baseline="0">
              <a:solidFill>
                <a:schemeClr val="dk1"/>
              </a:solidFill>
              <a:effectLst/>
              <a:latin typeface="+mn-lt"/>
              <a:ea typeface="+mn-ea"/>
              <a:cs typeface="+mn-cs"/>
            </a:rPr>
            <a:t>EAMD Scorecard </a:t>
          </a:r>
          <a:r>
            <a:rPr lang="en-GB" sz="1100" b="0" baseline="0">
              <a:solidFill>
                <a:schemeClr val="dk1"/>
              </a:solidFill>
              <a:effectLst/>
              <a:latin typeface="+mn-lt"/>
              <a:ea typeface="+mn-ea"/>
              <a:cs typeface="+mn-cs"/>
            </a:rPr>
            <a:t>tab.</a:t>
          </a:r>
          <a:endParaRPr lang="en-GB">
            <a:effectLst/>
          </a:endParaRPr>
        </a:p>
        <a:p>
          <a:endParaRPr lang="en-GB" sz="1100"/>
        </a:p>
        <a:p>
          <a:pPr marL="0" marR="0" lvl="0" indent="0" defTabSz="914400" eaLnBrk="1" fontAlgn="auto" latinLnBrk="0" hangingPunct="1">
            <a:lnSpc>
              <a:spcPct val="100000"/>
            </a:lnSpc>
            <a:spcBef>
              <a:spcPts val="0"/>
            </a:spcBef>
            <a:spcAft>
              <a:spcPts val="0"/>
            </a:spcAft>
            <a:buClrTx/>
            <a:buSzTx/>
            <a:buFontTx/>
            <a:buNone/>
            <a:tabLst/>
            <a:defRPr/>
          </a:pPr>
          <a:r>
            <a:rPr lang="en-GB" sz="1100"/>
            <a:t>These results will be displayed along with the current asse</a:t>
          </a:r>
          <a:r>
            <a:rPr lang="en-GB" sz="1100">
              <a:solidFill>
                <a:schemeClr val="dk1"/>
              </a:solidFill>
              <a:effectLst/>
              <a:latin typeface="+mn-lt"/>
              <a:ea typeface="+mn-ea"/>
              <a:cs typeface="+mn-cs"/>
            </a:rPr>
            <a:t>ssment in the </a:t>
          </a:r>
          <a:r>
            <a:rPr lang="en-GB" sz="1100" b="1">
              <a:solidFill>
                <a:schemeClr val="dk1"/>
              </a:solidFill>
              <a:effectLst/>
              <a:latin typeface="+mn-lt"/>
              <a:ea typeface="+mn-ea"/>
              <a:cs typeface="+mn-cs"/>
            </a:rPr>
            <a:t>Dashboard comparison</a:t>
          </a:r>
          <a:r>
            <a:rPr lang="en-GB" sz="1100" b="0" baseline="0">
              <a:solidFill>
                <a:schemeClr val="dk1"/>
              </a:solidFill>
              <a:effectLst/>
              <a:latin typeface="+mn-lt"/>
              <a:ea typeface="+mn-ea"/>
              <a:cs typeface="+mn-cs"/>
            </a:rPr>
            <a:t>:</a:t>
          </a:r>
          <a:endParaRPr lang="en-GB" b="0">
            <a:effectLst/>
          </a:endParaRPr>
        </a:p>
        <a:p>
          <a:r>
            <a:rPr lang="en-GB" sz="1100">
              <a:solidFill>
                <a:schemeClr val="dk1"/>
              </a:solidFill>
              <a:effectLst/>
              <a:latin typeface="+mn-lt"/>
              <a:ea typeface="+mn-ea"/>
              <a:cs typeface="+mn-cs"/>
            </a:rPr>
            <a:t>           i. </a:t>
          </a:r>
          <a:r>
            <a:rPr lang="en-GB" sz="1100" b="1">
              <a:solidFill>
                <a:schemeClr val="dk1"/>
              </a:solidFill>
              <a:effectLst/>
              <a:latin typeface="+mn-lt"/>
              <a:ea typeface="+mn-ea"/>
              <a:cs typeface="+mn-cs"/>
            </a:rPr>
            <a:t>Overview Energy Market Scorecard</a:t>
          </a:r>
          <a:r>
            <a:rPr lang="en-GB" sz="1100">
              <a:solidFill>
                <a:schemeClr val="dk1"/>
              </a:solidFill>
              <a:effectLst/>
              <a:latin typeface="+mn-lt"/>
              <a:ea typeface="+mn-ea"/>
              <a:cs typeface="+mn-cs"/>
            </a:rPr>
            <a:t>: country, technology, year, data source (for this year's assessment)</a:t>
          </a:r>
          <a:endParaRPr lang="en-GB">
            <a:effectLst/>
          </a:endParaRPr>
        </a:p>
        <a:p>
          <a:r>
            <a:rPr lang="en-GB" sz="1100">
              <a:solidFill>
                <a:schemeClr val="dk1"/>
              </a:solidFill>
              <a:effectLst/>
              <a:latin typeface="+mn-lt"/>
              <a:ea typeface="+mn-ea"/>
              <a:cs typeface="+mn-cs"/>
            </a:rPr>
            <a:t>           ii. </a:t>
          </a:r>
          <a:r>
            <a:rPr lang="en-GB" sz="1100" b="1">
              <a:solidFill>
                <a:schemeClr val="dk1"/>
              </a:solidFill>
              <a:effectLst/>
              <a:latin typeface="+mn-lt"/>
              <a:ea typeface="+mn-ea"/>
              <a:cs typeface="+mn-cs"/>
            </a:rPr>
            <a:t>Legend</a:t>
          </a:r>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 Market phases with colour coding</a:t>
          </a:r>
          <a:endParaRPr lang="en-GB">
            <a:effectLst/>
          </a:endParaRPr>
        </a:p>
        <a:p>
          <a:r>
            <a:rPr lang="en-GB" sz="1100">
              <a:solidFill>
                <a:schemeClr val="dk1"/>
              </a:solidFill>
              <a:effectLst/>
              <a:latin typeface="+mn-lt"/>
              <a:ea typeface="+mn-ea"/>
              <a:cs typeface="+mn-cs"/>
            </a:rPr>
            <a:t>                             - Market trends with arrow symbols</a:t>
          </a:r>
          <a:endParaRPr lang="en-GB">
            <a:effectLst/>
          </a:endParaRPr>
        </a:p>
        <a:p>
          <a:r>
            <a:rPr lang="en-GB" sz="1100">
              <a:solidFill>
                <a:schemeClr val="dk1"/>
              </a:solidFill>
              <a:effectLst/>
              <a:latin typeface="+mn-lt"/>
              <a:ea typeface="+mn-ea"/>
              <a:cs typeface="+mn-cs"/>
            </a:rPr>
            <a:t>           iii. </a:t>
          </a:r>
          <a:r>
            <a:rPr lang="en-GB" sz="1100" b="1">
              <a:solidFill>
                <a:schemeClr val="dk1"/>
              </a:solidFill>
              <a:effectLst/>
              <a:latin typeface="+mn-lt"/>
              <a:ea typeface="+mn-ea"/>
              <a:cs typeface="+mn-cs"/>
            </a:rPr>
            <a:t>Summary:</a:t>
          </a:r>
          <a:endParaRPr lang="en-GB">
            <a:effectLst/>
          </a:endParaRPr>
        </a:p>
        <a:p>
          <a:r>
            <a:rPr lang="en-GB" sz="1100">
              <a:solidFill>
                <a:schemeClr val="dk1"/>
              </a:solidFill>
              <a:effectLst/>
              <a:latin typeface="+mn-lt"/>
              <a:ea typeface="+mn-ea"/>
              <a:cs typeface="+mn-cs"/>
            </a:rPr>
            <a:t>                             - </a:t>
          </a:r>
          <a:r>
            <a:rPr lang="en-GB" sz="1100" b="1">
              <a:solidFill>
                <a:schemeClr val="dk1"/>
              </a:solidFill>
              <a:effectLst/>
              <a:latin typeface="+mn-lt"/>
              <a:ea typeface="+mn-ea"/>
              <a:cs typeface="+mn-cs"/>
            </a:rPr>
            <a:t>Market phase and trends per indicator</a:t>
          </a:r>
          <a:endParaRPr lang="en-GB">
            <a:effectLst/>
          </a:endParaRPr>
        </a:p>
        <a:p>
          <a:r>
            <a:rPr lang="en-GB" sz="1100">
              <a:solidFill>
                <a:schemeClr val="dk1"/>
              </a:solidFill>
              <a:effectLst/>
              <a:latin typeface="+mn-lt"/>
              <a:ea typeface="+mn-ea"/>
              <a:cs typeface="+mn-cs"/>
            </a:rPr>
            <a:t>                             - </a:t>
          </a:r>
          <a:r>
            <a:rPr lang="en-GB" sz="1100" b="1">
              <a:solidFill>
                <a:schemeClr val="dk1"/>
              </a:solidFill>
              <a:effectLst/>
              <a:latin typeface="+mn-lt"/>
              <a:ea typeface="+mn-ea"/>
              <a:cs typeface="+mn-cs"/>
            </a:rPr>
            <a:t>Attention Zone</a:t>
          </a:r>
          <a:r>
            <a:rPr lang="en-GB" sz="1100">
              <a:solidFill>
                <a:schemeClr val="dk1"/>
              </a:solidFill>
              <a:effectLst/>
              <a:latin typeface="+mn-lt"/>
              <a:ea typeface="+mn-ea"/>
              <a:cs typeface="+mn-cs"/>
            </a:rPr>
            <a:t>: List of all variables in pre-commercial and pioneering phases (early market phase) and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variables with critical and/or unknown market trends in the expansion and maturity phases.</a:t>
          </a:r>
          <a:endParaRPr lang="en-GB">
            <a:effectLst/>
          </a:endParaRPr>
        </a:p>
        <a:p>
          <a:r>
            <a:rPr lang="en-GB" sz="1100">
              <a:solidFill>
                <a:schemeClr val="dk1"/>
              </a:solidFill>
              <a:effectLst/>
              <a:latin typeface="+mn-lt"/>
              <a:ea typeface="+mn-ea"/>
              <a:cs typeface="+mn-cs"/>
            </a:rPr>
            <a:t>                             - </a:t>
          </a:r>
          <a:r>
            <a:rPr lang="en-GB" sz="1100" b="1">
              <a:solidFill>
                <a:schemeClr val="dk1"/>
              </a:solidFill>
              <a:effectLst/>
              <a:latin typeface="+mn-lt"/>
              <a:ea typeface="+mn-ea"/>
              <a:cs typeface="+mn-cs"/>
            </a:rPr>
            <a:t>Variables not measured:</a:t>
          </a:r>
          <a:r>
            <a:rPr lang="en-GB" sz="1100">
              <a:solidFill>
                <a:schemeClr val="dk1"/>
              </a:solidFill>
              <a:effectLst/>
              <a:latin typeface="+mn-lt"/>
              <a:ea typeface="+mn-ea"/>
              <a:cs typeface="+mn-cs"/>
            </a:rPr>
            <a:t> List of those variables that have not yet been measured</a:t>
          </a:r>
          <a:endParaRPr lang="en-GB">
            <a:effectLst/>
          </a:endParaRPr>
        </a:p>
        <a:p>
          <a:r>
            <a:rPr lang="en-GB" sz="1100">
              <a:solidFill>
                <a:schemeClr val="dk1"/>
              </a:solidFill>
              <a:effectLst/>
              <a:latin typeface="+mn-lt"/>
              <a:ea typeface="+mn-ea"/>
              <a:cs typeface="+mn-cs"/>
            </a:rPr>
            <a:t>           iv. </a:t>
          </a:r>
          <a:r>
            <a:rPr lang="en-GB" sz="1100" b="1">
              <a:solidFill>
                <a:schemeClr val="dk1"/>
              </a:solidFill>
              <a:effectLst/>
              <a:latin typeface="+mn-lt"/>
              <a:ea typeface="+mn-ea"/>
              <a:cs typeface="+mn-cs"/>
            </a:rPr>
            <a:t>Visualisation of market development over time, </a:t>
          </a:r>
          <a:r>
            <a:rPr lang="en-GB" sz="1100">
              <a:solidFill>
                <a:schemeClr val="dk1"/>
              </a:solidFill>
              <a:effectLst/>
              <a:latin typeface="+mn-lt"/>
              <a:ea typeface="+mn-ea"/>
              <a:cs typeface="+mn-cs"/>
            </a:rPr>
            <a:t>comparing:</a:t>
          </a:r>
          <a:endParaRPr lang="en-GB">
            <a:effectLst/>
          </a:endParaRPr>
        </a:p>
        <a:p>
          <a:r>
            <a:rPr lang="en-GB" sz="1100">
              <a:solidFill>
                <a:schemeClr val="dk1"/>
              </a:solidFill>
              <a:effectLst/>
              <a:latin typeface="+mn-lt"/>
              <a:ea typeface="+mn-ea"/>
              <a:cs typeface="+mn-cs"/>
            </a:rPr>
            <a:t>                             - Number of indicators per market phase</a:t>
          </a:r>
          <a:endParaRPr lang="en-GB">
            <a:effectLst/>
          </a:endParaRPr>
        </a:p>
        <a:p>
          <a:r>
            <a:rPr lang="en-GB" sz="1100">
              <a:solidFill>
                <a:schemeClr val="dk1"/>
              </a:solidFill>
              <a:effectLst/>
              <a:latin typeface="+mn-lt"/>
              <a:ea typeface="+mn-ea"/>
              <a:cs typeface="+mn-cs"/>
            </a:rPr>
            <a:t>                             - Market phase and trend per variable</a:t>
          </a:r>
          <a:endParaRPr lang="en-GB">
            <a:effectLst/>
          </a:endParaRPr>
        </a:p>
        <a:p>
          <a:r>
            <a:rPr lang="en-GB" sz="1100">
              <a:solidFill>
                <a:schemeClr val="dk1"/>
              </a:solidFill>
              <a:effectLst/>
              <a:latin typeface="+mn-lt"/>
              <a:ea typeface="+mn-ea"/>
              <a:cs typeface="+mn-cs"/>
            </a:rPr>
            <a:t>                             - Market phase per variable per perspective</a:t>
          </a:r>
        </a:p>
        <a:p>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Dashboard Comparison can also be printed or exported to PDF.</a:t>
          </a:r>
          <a:endParaRPr lang="en-GB">
            <a:effectLst/>
          </a:endParaRPr>
        </a:p>
        <a:p>
          <a:endParaRPr lang="en-GB">
            <a:effectLst/>
          </a:endParaRPr>
        </a:p>
      </xdr:txBody>
    </xdr:sp>
    <xdr:clientData/>
  </xdr:twoCellAnchor>
  <xdr:twoCellAnchor>
    <xdr:from>
      <xdr:col>9</xdr:col>
      <xdr:colOff>250371</xdr:colOff>
      <xdr:row>20</xdr:row>
      <xdr:rowOff>131990</xdr:rowOff>
    </xdr:from>
    <xdr:to>
      <xdr:col>10</xdr:col>
      <xdr:colOff>7685767</xdr:colOff>
      <xdr:row>28</xdr:row>
      <xdr:rowOff>85725</xdr:rowOff>
    </xdr:to>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8365671" y="7409090"/>
          <a:ext cx="7692571" cy="185873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rgbClr val="002060"/>
              </a:solidFill>
            </a:rPr>
            <a:t>3. Review the Dashboard</a:t>
          </a:r>
        </a:p>
        <a:p>
          <a:r>
            <a:rPr lang="en-GB" sz="1100"/>
            <a:t>All data entered will be automatically displayed in the </a:t>
          </a:r>
          <a:r>
            <a:rPr lang="en-GB" sz="1100" b="1"/>
            <a:t>Dashboard </a:t>
          </a:r>
          <a:r>
            <a:rPr lang="en-GB" sz="1100" b="0"/>
            <a:t>tab</a:t>
          </a:r>
          <a:r>
            <a:rPr lang="en-GB" sz="1100"/>
            <a:t>. </a:t>
          </a:r>
        </a:p>
        <a:p>
          <a:endParaRPr lang="en-GB" sz="1100"/>
        </a:p>
        <a:p>
          <a:r>
            <a:rPr lang="en-GB" sz="1100"/>
            <a:t>The dashboard displays the following information:</a:t>
          </a:r>
        </a:p>
        <a:p>
          <a:r>
            <a:rPr lang="en-GB" sz="1100">
              <a:solidFill>
                <a:schemeClr val="dk1"/>
              </a:solidFill>
              <a:effectLst/>
              <a:latin typeface="+mn-lt"/>
              <a:ea typeface="+mn-ea"/>
              <a:cs typeface="+mn-cs"/>
            </a:rPr>
            <a:t>          i. </a:t>
          </a:r>
          <a:r>
            <a:rPr lang="en-GB" sz="1100" b="1">
              <a:solidFill>
                <a:schemeClr val="dk1"/>
              </a:solidFill>
              <a:effectLst/>
              <a:latin typeface="+mn-lt"/>
              <a:ea typeface="+mn-ea"/>
              <a:cs typeface="+mn-cs"/>
            </a:rPr>
            <a:t>Visualisation </a:t>
          </a:r>
          <a:r>
            <a:rPr lang="en-GB" sz="1100" b="0">
              <a:solidFill>
                <a:schemeClr val="dk1"/>
              </a:solidFill>
              <a:effectLst/>
              <a:latin typeface="+mn-lt"/>
              <a:ea typeface="+mn-ea"/>
              <a:cs typeface="+mn-cs"/>
            </a:rPr>
            <a:t>of indicators </a:t>
          </a:r>
          <a:r>
            <a:rPr lang="en-GB" sz="1100">
              <a:solidFill>
                <a:schemeClr val="dk1"/>
              </a:solidFill>
              <a:effectLst/>
              <a:latin typeface="+mn-lt"/>
              <a:ea typeface="+mn-ea"/>
              <a:cs typeface="+mn-cs"/>
            </a:rPr>
            <a:t>according to their current </a:t>
          </a:r>
          <a:r>
            <a:rPr lang="en-GB" sz="1100" b="1">
              <a:solidFill>
                <a:schemeClr val="dk1"/>
              </a:solidFill>
              <a:effectLst/>
              <a:latin typeface="+mn-lt"/>
              <a:ea typeface="+mn-ea"/>
              <a:cs typeface="+mn-cs"/>
            </a:rPr>
            <a:t>market phase </a:t>
          </a:r>
          <a:r>
            <a:rPr lang="en-GB" sz="1100" b="0">
              <a:solidFill>
                <a:schemeClr val="dk1"/>
              </a:solidFill>
              <a:effectLst/>
              <a:latin typeface="+mn-lt"/>
              <a:ea typeface="+mn-ea"/>
              <a:cs typeface="+mn-cs"/>
            </a:rPr>
            <a:t>(calculated as averages of the underlying variables).</a:t>
          </a:r>
          <a:r>
            <a:rPr lang="en-GB" sz="1100" b="1">
              <a:solidFill>
                <a:schemeClr val="dk1"/>
              </a:solidFill>
              <a:effectLst/>
              <a:latin typeface="+mn-lt"/>
              <a:ea typeface="+mn-ea"/>
              <a:cs typeface="+mn-cs"/>
            </a:rPr>
            <a:t>  </a:t>
          </a:r>
          <a:endParaRPr lang="en-GB">
            <a:effectLst/>
          </a:endParaRPr>
        </a:p>
        <a:p>
          <a:r>
            <a:rPr lang="en-GB" sz="1100">
              <a:solidFill>
                <a:schemeClr val="dk1"/>
              </a:solidFill>
              <a:effectLst/>
              <a:latin typeface="+mn-lt"/>
              <a:ea typeface="+mn-ea"/>
              <a:cs typeface="+mn-cs"/>
            </a:rPr>
            <a:t>         ii. </a:t>
          </a:r>
          <a:r>
            <a:rPr lang="en-GB" sz="1100" b="1">
              <a:solidFill>
                <a:schemeClr val="dk1"/>
              </a:solidFill>
              <a:effectLst/>
              <a:latin typeface="+mn-lt"/>
              <a:ea typeface="+mn-ea"/>
              <a:cs typeface="+mn-cs"/>
            </a:rPr>
            <a:t>Market phase and trend for each variable,</a:t>
          </a:r>
          <a:r>
            <a:rPr lang="en-GB" sz="1100">
              <a:solidFill>
                <a:schemeClr val="dk1"/>
              </a:solidFill>
              <a:effectLst/>
              <a:latin typeface="+mn-lt"/>
              <a:ea typeface="+mn-ea"/>
              <a:cs typeface="+mn-cs"/>
            </a:rPr>
            <a:t> along with the explanation provided.</a:t>
          </a:r>
          <a:endParaRPr lang="en-GB">
            <a:effectLst/>
          </a:endParaRPr>
        </a:p>
        <a:p>
          <a:r>
            <a:rPr lang="en-GB" sz="1100">
              <a:solidFill>
                <a:schemeClr val="dk1"/>
              </a:solidFill>
              <a:effectLst/>
              <a:latin typeface="+mn-lt"/>
              <a:ea typeface="+mn-ea"/>
              <a:cs typeface="+mn-cs"/>
            </a:rPr>
            <a:t>         iii. </a:t>
          </a:r>
          <a:r>
            <a:rPr lang="en-GB" sz="1100" b="1">
              <a:solidFill>
                <a:schemeClr val="dk1"/>
              </a:solidFill>
              <a:effectLst/>
              <a:latin typeface="+mn-lt"/>
              <a:ea typeface="+mn-ea"/>
              <a:cs typeface="+mn-cs"/>
            </a:rPr>
            <a:t>Summary of the number of variables measured</a:t>
          </a:r>
          <a:r>
            <a:rPr lang="en-GB" sz="1100">
              <a:solidFill>
                <a:schemeClr val="dk1"/>
              </a:solidFill>
              <a:effectLst/>
              <a:latin typeface="+mn-lt"/>
              <a:ea typeface="+mn-ea"/>
              <a:cs typeface="+mn-cs"/>
            </a:rPr>
            <a:t>, not measured, and those assessed as not applicable.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Dashboard can be printed or exported to PDF.</a:t>
          </a:r>
          <a:endParaRPr lang="en-GB">
            <a:effectLst/>
          </a:endParaRPr>
        </a:p>
      </xdr:txBody>
    </xdr:sp>
    <xdr:clientData/>
  </xdr:twoCellAnchor>
  <xdr:twoCellAnchor>
    <xdr:from>
      <xdr:col>1</xdr:col>
      <xdr:colOff>1</xdr:colOff>
      <xdr:row>39</xdr:row>
      <xdr:rowOff>104776</xdr:rowOff>
    </xdr:from>
    <xdr:to>
      <xdr:col>8</xdr:col>
      <xdr:colOff>342901</xdr:colOff>
      <xdr:row>56</xdr:row>
      <xdr:rowOff>66676</xdr:rowOff>
    </xdr:to>
    <xdr:sp macro="" textlink="">
      <xdr:nvSpPr>
        <xdr:cNvPr id="2" name="TextBox 45">
          <a:extLst>
            <a:ext uri="{FF2B5EF4-FFF2-40B4-BE49-F238E27FC236}">
              <a16:creationId xmlns:a16="http://schemas.microsoft.com/office/drawing/2014/main" id="{AE2FBCB7-4D2E-4EDA-820B-C4C40A1EADA6}"/>
            </a:ext>
          </a:extLst>
        </xdr:cNvPr>
        <xdr:cNvSpPr txBox="1"/>
      </xdr:nvSpPr>
      <xdr:spPr>
        <a:xfrm>
          <a:off x="333376" y="11763376"/>
          <a:ext cx="7258050" cy="32194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rgbClr val="002060"/>
              </a:solidFill>
            </a:rPr>
            <a:t>Introduction succincte en francais</a:t>
          </a:r>
          <a:endParaRPr lang="en-GB" sz="2400">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L'outil EAMD a</a:t>
          </a:r>
          <a:r>
            <a:rPr lang="en-GB" sz="1100" baseline="0">
              <a:solidFill>
                <a:schemeClr val="dk1"/>
              </a:solidFill>
              <a:effectLst/>
              <a:latin typeface="+mn-lt"/>
              <a:ea typeface="+mn-ea"/>
              <a:cs typeface="+mn-cs"/>
            </a:rPr>
            <a:t> été développé pour </a:t>
          </a:r>
          <a:r>
            <a:rPr lang="en-GB" sz="1100">
              <a:solidFill>
                <a:schemeClr val="dk1"/>
              </a:solidFill>
              <a:effectLst/>
              <a:latin typeface="+mn-lt"/>
              <a:ea typeface="+mn-ea"/>
              <a:cs typeface="+mn-cs"/>
            </a:rPr>
            <a:t>i) </a:t>
          </a:r>
          <a:r>
            <a:rPr lang="en-GB" sz="1100" b="1">
              <a:solidFill>
                <a:schemeClr val="dk1"/>
              </a:solidFill>
              <a:effectLst/>
              <a:latin typeface="+mn-lt"/>
              <a:ea typeface="+mn-ea"/>
              <a:cs typeface="+mn-cs"/>
            </a:rPr>
            <a:t>planifier</a:t>
          </a:r>
          <a:r>
            <a:rPr lang="en-GB" sz="1100">
              <a:solidFill>
                <a:schemeClr val="dk1"/>
              </a:solidFill>
              <a:effectLst/>
              <a:latin typeface="+mn-lt"/>
              <a:ea typeface="+mn-ea"/>
              <a:cs typeface="+mn-cs"/>
            </a:rPr>
            <a:t> un projet destiné à soutenir le développement du marché, </a:t>
          </a:r>
        </a:p>
        <a:p>
          <a:r>
            <a:rPr lang="en-GB" sz="1100">
              <a:solidFill>
                <a:schemeClr val="dk1"/>
              </a:solidFill>
              <a:effectLst/>
              <a:latin typeface="+mn-lt"/>
              <a:ea typeface="+mn-ea"/>
              <a:cs typeface="+mn-cs"/>
            </a:rPr>
            <a:t>  ii) </a:t>
          </a:r>
          <a:r>
            <a:rPr lang="en-GB" sz="1100" b="1">
              <a:solidFill>
                <a:schemeClr val="dk1"/>
              </a:solidFill>
              <a:effectLst/>
              <a:latin typeface="+mn-lt"/>
              <a:ea typeface="+mn-ea"/>
              <a:cs typeface="+mn-cs"/>
            </a:rPr>
            <a:t>suivre</a:t>
          </a:r>
          <a:r>
            <a:rPr lang="en-GB" sz="1100">
              <a:solidFill>
                <a:schemeClr val="dk1"/>
              </a:solidFill>
              <a:effectLst/>
              <a:latin typeface="+mn-lt"/>
              <a:ea typeface="+mn-ea"/>
              <a:cs typeface="+mn-cs"/>
            </a:rPr>
            <a:t> l'évolution du marché et adapter la planification du projet à un contexte changeant,</a:t>
          </a:r>
        </a:p>
        <a:p>
          <a:r>
            <a:rPr lang="en-GB" sz="1100">
              <a:solidFill>
                <a:schemeClr val="dk1"/>
              </a:solidFill>
              <a:effectLst/>
              <a:latin typeface="+mn-lt"/>
              <a:ea typeface="+mn-ea"/>
              <a:cs typeface="+mn-cs"/>
            </a:rPr>
            <a:t>  iii) établir des indications sur </a:t>
          </a:r>
          <a:r>
            <a:rPr lang="en-GB" sz="1100" b="1">
              <a:solidFill>
                <a:schemeClr val="dk1"/>
              </a:solidFill>
              <a:effectLst/>
              <a:latin typeface="+mn-lt"/>
              <a:ea typeface="+mn-ea"/>
              <a:cs typeface="+mn-cs"/>
            </a:rPr>
            <a:t>l'évolution</a:t>
          </a:r>
          <a:r>
            <a:rPr lang="en-GB" sz="1100">
              <a:solidFill>
                <a:schemeClr val="dk1"/>
              </a:solidFill>
              <a:effectLst/>
              <a:latin typeface="+mn-lt"/>
              <a:ea typeface="+mn-ea"/>
              <a:cs typeface="+mn-cs"/>
            </a:rPr>
            <a:t> du marché à plus long terme. </a:t>
          </a:r>
        </a:p>
        <a:p>
          <a:endParaRPr lang="en-GB"/>
        </a:p>
        <a:p>
          <a:r>
            <a:rPr lang="en-GB"/>
            <a:t>Les</a:t>
          </a:r>
          <a:r>
            <a:rPr lang="en-GB" baseline="0"/>
            <a:t> </a:t>
          </a:r>
          <a:r>
            <a:rPr lang="en-GB"/>
            <a:t>aspects importants du marché</a:t>
          </a:r>
          <a:r>
            <a:rPr lang="en-GB" baseline="0"/>
            <a:t> ont été définis comme </a:t>
          </a:r>
          <a:r>
            <a:rPr lang="en-GB" b="1" baseline="0"/>
            <a:t>38 variables</a:t>
          </a:r>
          <a:r>
            <a:rPr lang="en-GB" b="0" baseline="0"/>
            <a:t> qui sont notées en fonction de phase. Les phases pertinentea pour la notation vont de la phase 0 - Pré-commercial à la phase III - Maturité. Chaque variable est notée en fonction des </a:t>
          </a:r>
          <a:r>
            <a:rPr lang="en-GB" b="1" baseline="0"/>
            <a:t>descriptions de réference </a:t>
          </a:r>
          <a:r>
            <a:rPr lang="en-GB" b="0" baseline="0"/>
            <a:t>incluses dans l'outil.</a:t>
          </a:r>
          <a:endParaRPr lang="en-GB" b="0"/>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Étapes pour utiliser l'outil:</a:t>
          </a:r>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1. Boundaries</a:t>
          </a:r>
          <a:r>
            <a:rPr lang="en-GB" sz="1100" b="1" baseline="0">
              <a:solidFill>
                <a:schemeClr val="dk1"/>
              </a:solidFill>
              <a:effectLst/>
              <a:latin typeface="+mn-lt"/>
              <a:ea typeface="+mn-ea"/>
              <a:cs typeface="+mn-cs"/>
            </a:rPr>
            <a:t> and Process = </a:t>
          </a:r>
          <a:r>
            <a:rPr lang="en-GB" sz="1100" b="0" baseline="0">
              <a:solidFill>
                <a:schemeClr val="dk1"/>
              </a:solidFill>
              <a:effectLst/>
              <a:latin typeface="+mn-lt"/>
              <a:ea typeface="+mn-ea"/>
              <a:cs typeface="+mn-cs"/>
            </a:rPr>
            <a:t>Limites et processus de pointage du marché. Dans cet onglet, c'est possible de choiser la version francaise.</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2. Filling in the scorecard </a:t>
          </a:r>
          <a:r>
            <a:rPr lang="en-GB" sz="1100" b="0" baseline="0">
              <a:solidFill>
                <a:schemeClr val="dk1"/>
              </a:solidFill>
              <a:effectLst/>
              <a:latin typeface="+mn-lt"/>
              <a:ea typeface="+mn-ea"/>
              <a:cs typeface="+mn-cs"/>
            </a:rPr>
            <a:t>= Remplir la carte de poitnage du marché</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3. Review the dashboard </a:t>
          </a:r>
          <a:r>
            <a:rPr lang="en-GB" sz="1100" b="0" baseline="0">
              <a:solidFill>
                <a:schemeClr val="dk1"/>
              </a:solidFill>
              <a:effectLst/>
              <a:latin typeface="+mn-lt"/>
              <a:ea typeface="+mn-ea"/>
              <a:cs typeface="+mn-cs"/>
            </a:rPr>
            <a:t>= Examiner le tableau de bord  </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4. Compare with previous results </a:t>
          </a:r>
          <a:r>
            <a:rPr lang="en-GB" sz="1100" b="0" baseline="0">
              <a:solidFill>
                <a:schemeClr val="dk1"/>
              </a:solidFill>
              <a:effectLst/>
              <a:latin typeface="+mn-lt"/>
              <a:ea typeface="+mn-ea"/>
              <a:cs typeface="+mn-cs"/>
            </a:rPr>
            <a:t>= Comparer avec les résultats précédents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2400">
            <a:effectLst/>
          </a:endParaRPr>
        </a:p>
        <a:p>
          <a:endParaRPr lang="en-GB" sz="2400" b="1">
            <a:solidFill>
              <a:srgbClr val="00206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40</xdr:col>
      <xdr:colOff>281703</xdr:colOff>
      <xdr:row>3</xdr:row>
      <xdr:rowOff>59366</xdr:rowOff>
    </xdr:from>
    <xdr:to>
      <xdr:col>40</xdr:col>
      <xdr:colOff>670323</xdr:colOff>
      <xdr:row>3</xdr:row>
      <xdr:rowOff>450367</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BEBA8EAE-BF5A-486C-A8C5-ECC9F3942E4B}">
              <a14:imgProps xmlns:a14="http://schemas.microsoft.com/office/drawing/2010/main">
                <a14:imgLayer r:embed="rId2">
                  <a14:imgEffect>
                    <a14:saturation sat="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829878" y="1564316"/>
          <a:ext cx="388620" cy="391001"/>
        </a:xfrm>
        <a:prstGeom prst="rect">
          <a:avLst/>
        </a:prstGeom>
      </xdr:spPr>
    </xdr:pic>
    <xdr:clientData/>
  </xdr:twoCellAnchor>
  <xdr:twoCellAnchor editAs="oneCell">
    <xdr:from>
      <xdr:col>40</xdr:col>
      <xdr:colOff>298856</xdr:colOff>
      <xdr:row>4</xdr:row>
      <xdr:rowOff>56617</xdr:rowOff>
    </xdr:from>
    <xdr:to>
      <xdr:col>40</xdr:col>
      <xdr:colOff>664879</xdr:colOff>
      <xdr:row>4</xdr:row>
      <xdr:rowOff>428831</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3" cstate="print">
          <a:duotone>
            <a:schemeClr val="accent6">
              <a:shade val="45000"/>
              <a:satMod val="135000"/>
            </a:schemeClr>
            <a:prstClr val="white"/>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42847031" y="2037817"/>
          <a:ext cx="366023" cy="372214"/>
        </a:xfrm>
        <a:prstGeom prst="rect">
          <a:avLst/>
        </a:prstGeom>
      </xdr:spPr>
    </xdr:pic>
    <xdr:clientData/>
  </xdr:twoCellAnchor>
  <xdr:twoCellAnchor editAs="oneCell">
    <xdr:from>
      <xdr:col>40</xdr:col>
      <xdr:colOff>349532</xdr:colOff>
      <xdr:row>5</xdr:row>
      <xdr:rowOff>111056</xdr:rowOff>
    </xdr:from>
    <xdr:to>
      <xdr:col>40</xdr:col>
      <xdr:colOff>588304</xdr:colOff>
      <xdr:row>5</xdr:row>
      <xdr:rowOff>339668</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5">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a:off x="52440699" y="2164223"/>
          <a:ext cx="234962" cy="228612"/>
        </a:xfrm>
        <a:prstGeom prst="rect">
          <a:avLst/>
        </a:prstGeom>
      </xdr:spPr>
    </xdr:pic>
    <xdr:clientData/>
  </xdr:twoCellAnchor>
  <xdr:twoCellAnchor editAs="oneCell">
    <xdr:from>
      <xdr:col>40</xdr:col>
      <xdr:colOff>283401</xdr:colOff>
      <xdr:row>6</xdr:row>
      <xdr:rowOff>48286</xdr:rowOff>
    </xdr:from>
    <xdr:to>
      <xdr:col>40</xdr:col>
      <xdr:colOff>673926</xdr:colOff>
      <xdr:row>6</xdr:row>
      <xdr:rowOff>437382</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6" cstate="print">
          <a:duotone>
            <a:schemeClr val="accent6">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 uri="{28A0092B-C50C-407E-A947-70E740481C1C}">
              <a14:useLocalDpi xmlns:a14="http://schemas.microsoft.com/office/drawing/2010/main" val="0"/>
            </a:ext>
          </a:extLst>
        </a:blip>
        <a:stretch>
          <a:fillRect/>
        </a:stretch>
      </xdr:blipFill>
      <xdr:spPr>
        <a:xfrm>
          <a:off x="42831576" y="2981986"/>
          <a:ext cx="390525" cy="389096"/>
        </a:xfrm>
        <a:prstGeom prst="rect">
          <a:avLst/>
        </a:prstGeom>
      </xdr:spPr>
    </xdr:pic>
    <xdr:clientData/>
  </xdr:twoCellAnchor>
  <xdr:twoCellAnchor editAs="oneCell">
    <xdr:from>
      <xdr:col>40</xdr:col>
      <xdr:colOff>289792</xdr:colOff>
      <xdr:row>7</xdr:row>
      <xdr:rowOff>55814</xdr:rowOff>
    </xdr:from>
    <xdr:to>
      <xdr:col>40</xdr:col>
      <xdr:colOff>678412</xdr:colOff>
      <xdr:row>7</xdr:row>
      <xdr:rowOff>446815</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8" cstate="print">
          <a:duotone>
            <a:schemeClr val="accent6">
              <a:shade val="45000"/>
              <a:satMod val="135000"/>
            </a:schemeClr>
            <a:prstClr val="white"/>
          </a:duotone>
          <a:extLst>
            <a:ext uri="{BEBA8EAE-BF5A-486C-A8C5-ECC9F3942E4B}">
              <a14:imgProps xmlns:a14="http://schemas.microsoft.com/office/drawing/2010/main">
                <a14:imgLayer r:embed="rId9">
                  <a14:imgEffect>
                    <a14:saturation sat="0"/>
                  </a14:imgEffect>
                </a14:imgLayer>
              </a14:imgProps>
            </a:ext>
            <a:ext uri="{28A0092B-C50C-407E-A947-70E740481C1C}">
              <a14:useLocalDpi xmlns:a14="http://schemas.microsoft.com/office/drawing/2010/main" val="0"/>
            </a:ext>
          </a:extLst>
        </a:blip>
        <a:stretch>
          <a:fillRect/>
        </a:stretch>
      </xdr:blipFill>
      <xdr:spPr>
        <a:xfrm>
          <a:off x="47737430" y="3445400"/>
          <a:ext cx="390525" cy="392906"/>
        </a:xfrm>
        <a:prstGeom prst="rect">
          <a:avLst/>
        </a:prstGeom>
      </xdr:spPr>
    </xdr:pic>
    <xdr:clientData/>
  </xdr:twoCellAnchor>
  <xdr:twoCellAnchor editAs="oneCell">
    <xdr:from>
      <xdr:col>40</xdr:col>
      <xdr:colOff>272649</xdr:colOff>
      <xdr:row>5</xdr:row>
      <xdr:rowOff>29065</xdr:rowOff>
    </xdr:from>
    <xdr:to>
      <xdr:col>40</xdr:col>
      <xdr:colOff>663204</xdr:colOff>
      <xdr:row>5</xdr:row>
      <xdr:rowOff>416287</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10" cstate="print">
          <a:duotone>
            <a:schemeClr val="accent6">
              <a:shade val="45000"/>
              <a:satMod val="135000"/>
            </a:schemeClr>
            <a:prstClr val="white"/>
          </a:duotone>
          <a:extLst>
            <a:ext uri="{BEBA8EAE-BF5A-486C-A8C5-ECC9F3942E4B}">
              <a14:imgProps xmlns:a14="http://schemas.microsoft.com/office/drawing/2010/main">
                <a14:imgLayer r:embed="rId11">
                  <a14:imgEffect>
                    <a14:saturation sat="0"/>
                  </a14:imgEffect>
                </a14:imgLayer>
              </a14:imgProps>
            </a:ext>
            <a:ext uri="{28A0092B-C50C-407E-A947-70E740481C1C}">
              <a14:useLocalDpi xmlns:a14="http://schemas.microsoft.com/office/drawing/2010/main" val="0"/>
            </a:ext>
          </a:extLst>
        </a:blip>
        <a:stretch>
          <a:fillRect/>
        </a:stretch>
      </xdr:blipFill>
      <xdr:spPr>
        <a:xfrm>
          <a:off x="42820824" y="2486515"/>
          <a:ext cx="390555" cy="387222"/>
        </a:xfrm>
        <a:prstGeom prst="rect">
          <a:avLst/>
        </a:prstGeom>
      </xdr:spPr>
    </xdr:pic>
    <xdr:clientData/>
  </xdr:twoCellAnchor>
  <xdr:oneCellAnchor>
    <xdr:from>
      <xdr:col>40</xdr:col>
      <xdr:colOff>283840</xdr:colOff>
      <xdr:row>8</xdr:row>
      <xdr:rowOff>0</xdr:rowOff>
    </xdr:from>
    <xdr:ext cx="390525" cy="390525"/>
    <xdr:pic>
      <xdr:nvPicPr>
        <xdr:cNvPr id="10" name="Picture 52">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2" cstate="print">
          <a:duotone>
            <a:schemeClr val="accent6">
              <a:shade val="45000"/>
              <a:satMod val="135000"/>
            </a:schemeClr>
            <a:prstClr val="white"/>
          </a:duotone>
          <a:extLst>
            <a:ext uri="{BEBA8EAE-BF5A-486C-A8C5-ECC9F3942E4B}">
              <a14:imgProps xmlns:a14="http://schemas.microsoft.com/office/drawing/2010/main">
                <a14:imgLayer r:embed="rId13">
                  <a14:imgEffect>
                    <a14:saturation sat="0"/>
                  </a14:imgEffect>
                </a14:imgLayer>
              </a14:imgProps>
            </a:ext>
            <a:ext uri="{28A0092B-C50C-407E-A947-70E740481C1C}">
              <a14:useLocalDpi xmlns:a14="http://schemas.microsoft.com/office/drawing/2010/main" val="0"/>
            </a:ext>
          </a:extLst>
        </a:blip>
        <a:stretch>
          <a:fillRect/>
        </a:stretch>
      </xdr:blipFill>
      <xdr:spPr>
        <a:xfrm>
          <a:off x="47743188" y="3974197"/>
          <a:ext cx="390525" cy="390525"/>
        </a:xfrm>
        <a:prstGeom prst="rect">
          <a:avLst/>
        </a:prstGeom>
      </xdr:spPr>
    </xdr:pic>
    <xdr:clientData/>
  </xdr:oneCellAnchor>
  <xdr:oneCellAnchor>
    <xdr:from>
      <xdr:col>40</xdr:col>
      <xdr:colOff>278060</xdr:colOff>
      <xdr:row>8</xdr:row>
      <xdr:rowOff>0</xdr:rowOff>
    </xdr:from>
    <xdr:ext cx="390177" cy="390525"/>
    <xdr:pic>
      <xdr:nvPicPr>
        <xdr:cNvPr id="12" name="Picture 52">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4" cstate="print">
          <a:duotone>
            <a:schemeClr val="accent6">
              <a:shade val="45000"/>
              <a:satMod val="135000"/>
            </a:schemeClr>
            <a:prstClr val="white"/>
          </a:duotone>
          <a:extLst>
            <a:ext uri="{BEBA8EAE-BF5A-486C-A8C5-ECC9F3942E4B}">
              <a14:imgProps xmlns:a14="http://schemas.microsoft.com/office/drawing/2010/main">
                <a14:imgLayer r:embed="rId15">
                  <a14:imgEffect>
                    <a14:saturation sat="0"/>
                  </a14:imgEffect>
                </a14:imgLayer>
              </a14:imgProps>
            </a:ext>
            <a:ext uri="{28A0092B-C50C-407E-A947-70E740481C1C}">
              <a14:useLocalDpi xmlns:a14="http://schemas.microsoft.com/office/drawing/2010/main" val="0"/>
            </a:ext>
          </a:extLst>
        </a:blip>
        <a:stretch>
          <a:fillRect/>
        </a:stretch>
      </xdr:blipFill>
      <xdr:spPr>
        <a:xfrm>
          <a:off x="47737408" y="4919960"/>
          <a:ext cx="390177" cy="390525"/>
        </a:xfrm>
        <a:prstGeom prst="rect">
          <a:avLst/>
        </a:prstGeom>
      </xdr:spPr>
    </xdr:pic>
    <xdr:clientData/>
  </xdr:oneCellAnchor>
  <xdr:oneCellAnchor>
    <xdr:from>
      <xdr:col>40</xdr:col>
      <xdr:colOff>285079</xdr:colOff>
      <xdr:row>8</xdr:row>
      <xdr:rowOff>0</xdr:rowOff>
    </xdr:from>
    <xdr:ext cx="376138" cy="376477"/>
    <xdr:pic>
      <xdr:nvPicPr>
        <xdr:cNvPr id="11" name="Picture 52">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6" cstate="print">
          <a:duotone>
            <a:schemeClr val="accent6">
              <a:shade val="45000"/>
              <a:satMod val="135000"/>
            </a:schemeClr>
            <a:prstClr val="white"/>
          </a:duotone>
          <a:extLst>
            <a:ext uri="{BEBA8EAE-BF5A-486C-A8C5-ECC9F3942E4B}">
              <a14:imgProps xmlns:a14="http://schemas.microsoft.com/office/drawing/2010/main">
                <a14:imgLayer r:embed="rId17">
                  <a14:imgEffect>
                    <a14:saturation sat="0"/>
                  </a14:imgEffect>
                </a14:imgLayer>
              </a14:imgProps>
            </a:ext>
            <a:ext uri="{28A0092B-C50C-407E-A947-70E740481C1C}">
              <a14:useLocalDpi xmlns:a14="http://schemas.microsoft.com/office/drawing/2010/main" val="0"/>
            </a:ext>
          </a:extLst>
        </a:blip>
        <a:stretch>
          <a:fillRect/>
        </a:stretch>
      </xdr:blipFill>
      <xdr:spPr>
        <a:xfrm>
          <a:off x="47744427" y="4463188"/>
          <a:ext cx="376138" cy="376477"/>
        </a:xfrm>
        <a:prstGeom prst="rect">
          <a:avLst/>
        </a:prstGeom>
      </xdr:spPr>
    </xdr:pic>
    <xdr:clientData/>
  </xdr:oneCellAnchor>
  <xdr:twoCellAnchor editAs="oneCell">
    <xdr:from>
      <xdr:col>40</xdr:col>
      <xdr:colOff>226695</xdr:colOff>
      <xdr:row>1</xdr:row>
      <xdr:rowOff>17310</xdr:rowOff>
    </xdr:from>
    <xdr:to>
      <xdr:col>40</xdr:col>
      <xdr:colOff>698505</xdr:colOff>
      <xdr:row>1</xdr:row>
      <xdr:rowOff>483405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8">
          <a:clrChange>
            <a:clrFrom>
              <a:srgbClr val="00A399"/>
            </a:clrFrom>
            <a:clrTo>
              <a:srgbClr val="00A399">
                <a:alpha val="0"/>
              </a:srgbClr>
            </a:clrTo>
          </a:clrChange>
          <a:duotone>
            <a:schemeClr val="accent6">
              <a:shade val="45000"/>
              <a:satMod val="135000"/>
            </a:schemeClr>
            <a:prstClr val="white"/>
          </a:duotone>
          <a:extLst>
            <a:ext uri="{BEBA8EAE-BF5A-486C-A8C5-ECC9F3942E4B}">
              <a14:imgProps xmlns:a14="http://schemas.microsoft.com/office/drawing/2010/main">
                <a14:imgLayer r:embed="rId19">
                  <a14:imgEffect>
                    <a14:saturation sat="0"/>
                  </a14:imgEffect>
                </a14:imgLayer>
              </a14:imgProps>
            </a:ext>
            <a:ext uri="{28A0092B-C50C-407E-A947-70E740481C1C}">
              <a14:useLocalDpi xmlns:a14="http://schemas.microsoft.com/office/drawing/2010/main" val="0"/>
            </a:ext>
          </a:extLst>
        </a:blip>
        <a:stretch>
          <a:fillRect/>
        </a:stretch>
      </xdr:blipFill>
      <xdr:spPr>
        <a:xfrm>
          <a:off x="42774870" y="531660"/>
          <a:ext cx="471810" cy="466095"/>
        </a:xfrm>
        <a:prstGeom prst="rect">
          <a:avLst/>
        </a:prstGeom>
      </xdr:spPr>
    </xdr:pic>
    <xdr:clientData/>
  </xdr:twoCellAnchor>
  <xdr:twoCellAnchor editAs="oneCell">
    <xdr:from>
      <xdr:col>40</xdr:col>
      <xdr:colOff>253365</xdr:colOff>
      <xdr:row>2</xdr:row>
      <xdr:rowOff>54428</xdr:rowOff>
    </xdr:from>
    <xdr:to>
      <xdr:col>40</xdr:col>
      <xdr:colOff>674557</xdr:colOff>
      <xdr:row>3</xdr:row>
      <xdr:rowOff>8834</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0">
          <a:duotone>
            <a:schemeClr val="accent6">
              <a:shade val="45000"/>
              <a:satMod val="135000"/>
            </a:schemeClr>
            <a:prstClr val="white"/>
          </a:duotone>
          <a:extLst>
            <a:ext uri="{BEBA8EAE-BF5A-486C-A8C5-ECC9F3942E4B}">
              <a14:imgProps xmlns:a14="http://schemas.microsoft.com/office/drawing/2010/main">
                <a14:imgLayer r:embed="rId21">
                  <a14:imgEffect>
                    <a14:saturation sat="0"/>
                  </a14:imgEffect>
                </a14:imgLayer>
              </a14:imgProps>
            </a:ext>
            <a:ext uri="{28A0092B-C50C-407E-A947-70E740481C1C}">
              <a14:useLocalDpi xmlns:a14="http://schemas.microsoft.com/office/drawing/2010/main" val="0"/>
            </a:ext>
          </a:extLst>
        </a:blip>
        <a:stretch>
          <a:fillRect/>
        </a:stretch>
      </xdr:blipFill>
      <xdr:spPr>
        <a:xfrm>
          <a:off x="42801540" y="1083128"/>
          <a:ext cx="421192" cy="430656"/>
        </a:xfrm>
        <a:prstGeom prst="rect">
          <a:avLst/>
        </a:prstGeom>
      </xdr:spPr>
    </xdr:pic>
    <xdr:clientData/>
  </xdr:twoCellAnchor>
  <xdr:oneCellAnchor>
    <xdr:from>
      <xdr:col>40</xdr:col>
      <xdr:colOff>274315</xdr:colOff>
      <xdr:row>7</xdr:row>
      <xdr:rowOff>474381</xdr:rowOff>
    </xdr:from>
    <xdr:ext cx="390525" cy="390525"/>
    <xdr:pic>
      <xdr:nvPicPr>
        <xdr:cNvPr id="4" name="Picture 52">
          <a:extLst>
            <a:ext uri="{FF2B5EF4-FFF2-40B4-BE49-F238E27FC236}">
              <a16:creationId xmlns:a16="http://schemas.microsoft.com/office/drawing/2014/main" id="{9BA4D347-430F-422E-A6CF-6055BE6CEBAF}"/>
            </a:ext>
          </a:extLst>
        </xdr:cNvPr>
        <xdr:cNvPicPr>
          <a:picLocks noChangeAspect="1"/>
        </xdr:cNvPicPr>
      </xdr:nvPicPr>
      <xdr:blipFill>
        <a:blip xmlns:r="http://schemas.openxmlformats.org/officeDocument/2006/relationships" r:embed="rId12" cstate="print">
          <a:duotone>
            <a:schemeClr val="accent6">
              <a:shade val="45000"/>
              <a:satMod val="135000"/>
            </a:schemeClr>
            <a:prstClr val="white"/>
          </a:duotone>
          <a:extLst>
            <a:ext uri="{BEBA8EAE-BF5A-486C-A8C5-ECC9F3942E4B}">
              <a14:imgProps xmlns:a14="http://schemas.microsoft.com/office/drawing/2010/main">
                <a14:imgLayer r:embed="rId13">
                  <a14:imgEffect>
                    <a14:saturation sat="0"/>
                  </a14:imgEffect>
                </a14:imgLayer>
              </a14:imgProps>
            </a:ext>
            <a:ext uri="{28A0092B-C50C-407E-A947-70E740481C1C}">
              <a14:useLocalDpi xmlns:a14="http://schemas.microsoft.com/office/drawing/2010/main" val="0"/>
            </a:ext>
          </a:extLst>
        </a:blip>
        <a:stretch>
          <a:fillRect/>
        </a:stretch>
      </xdr:blipFill>
      <xdr:spPr>
        <a:xfrm>
          <a:off x="38783890" y="3884331"/>
          <a:ext cx="390525" cy="390525"/>
        </a:xfrm>
        <a:prstGeom prst="rect">
          <a:avLst/>
        </a:prstGeom>
      </xdr:spPr>
    </xdr:pic>
    <xdr:clientData/>
  </xdr:oneCellAnchor>
  <xdr:oneCellAnchor>
    <xdr:from>
      <xdr:col>40</xdr:col>
      <xdr:colOff>278060</xdr:colOff>
      <xdr:row>10</xdr:row>
      <xdr:rowOff>49786</xdr:rowOff>
    </xdr:from>
    <xdr:ext cx="390177" cy="390525"/>
    <xdr:pic>
      <xdr:nvPicPr>
        <xdr:cNvPr id="5" name="Picture 52">
          <a:extLst>
            <a:ext uri="{FF2B5EF4-FFF2-40B4-BE49-F238E27FC236}">
              <a16:creationId xmlns:a16="http://schemas.microsoft.com/office/drawing/2014/main" id="{5B38CE70-0C02-4C93-8A02-3F54F765BE29}"/>
            </a:ext>
          </a:extLst>
        </xdr:cNvPr>
        <xdr:cNvPicPr>
          <a:picLocks noChangeAspect="1"/>
        </xdr:cNvPicPr>
      </xdr:nvPicPr>
      <xdr:blipFill>
        <a:blip xmlns:r="http://schemas.openxmlformats.org/officeDocument/2006/relationships" r:embed="rId14" cstate="print">
          <a:duotone>
            <a:schemeClr val="accent6">
              <a:shade val="45000"/>
              <a:satMod val="135000"/>
            </a:schemeClr>
            <a:prstClr val="white"/>
          </a:duotone>
          <a:extLst>
            <a:ext uri="{BEBA8EAE-BF5A-486C-A8C5-ECC9F3942E4B}">
              <a14:imgProps xmlns:a14="http://schemas.microsoft.com/office/drawing/2010/main">
                <a14:imgLayer r:embed="rId15">
                  <a14:imgEffect>
                    <a14:saturation sat="0"/>
                  </a14:imgEffect>
                </a14:imgLayer>
              </a14:imgProps>
            </a:ext>
            <a:ext uri="{28A0092B-C50C-407E-A947-70E740481C1C}">
              <a14:useLocalDpi xmlns:a14="http://schemas.microsoft.com/office/drawing/2010/main" val="0"/>
            </a:ext>
          </a:extLst>
        </a:blip>
        <a:stretch>
          <a:fillRect/>
        </a:stretch>
      </xdr:blipFill>
      <xdr:spPr>
        <a:xfrm>
          <a:off x="38787635" y="4697986"/>
          <a:ext cx="390177" cy="390525"/>
        </a:xfrm>
        <a:prstGeom prst="rect">
          <a:avLst/>
        </a:prstGeom>
      </xdr:spPr>
    </xdr:pic>
    <xdr:clientData/>
  </xdr:oneCellAnchor>
  <xdr:oneCellAnchor>
    <xdr:from>
      <xdr:col>40</xdr:col>
      <xdr:colOff>285079</xdr:colOff>
      <xdr:row>9</xdr:row>
      <xdr:rowOff>73405</xdr:rowOff>
    </xdr:from>
    <xdr:ext cx="376138" cy="376477"/>
    <xdr:pic>
      <xdr:nvPicPr>
        <xdr:cNvPr id="6" name="Picture 52">
          <a:extLst>
            <a:ext uri="{FF2B5EF4-FFF2-40B4-BE49-F238E27FC236}">
              <a16:creationId xmlns:a16="http://schemas.microsoft.com/office/drawing/2014/main" id="{7490A8F4-6329-467D-9718-0799720CC46B}"/>
            </a:ext>
          </a:extLst>
        </xdr:cNvPr>
        <xdr:cNvPicPr>
          <a:picLocks noChangeAspect="1"/>
        </xdr:cNvPicPr>
      </xdr:nvPicPr>
      <xdr:blipFill>
        <a:blip xmlns:r="http://schemas.openxmlformats.org/officeDocument/2006/relationships" r:embed="rId16" cstate="print">
          <a:duotone>
            <a:schemeClr val="accent6">
              <a:shade val="45000"/>
              <a:satMod val="135000"/>
            </a:schemeClr>
            <a:prstClr val="white"/>
          </a:duotone>
          <a:extLst>
            <a:ext uri="{BEBA8EAE-BF5A-486C-A8C5-ECC9F3942E4B}">
              <a14:imgProps xmlns:a14="http://schemas.microsoft.com/office/drawing/2010/main">
                <a14:imgLayer r:embed="rId17">
                  <a14:imgEffect>
                    <a14:saturation sat="0"/>
                  </a14:imgEffect>
                </a14:imgLayer>
              </a14:imgProps>
            </a:ext>
            <a:ext uri="{28A0092B-C50C-407E-A947-70E740481C1C}">
              <a14:useLocalDpi xmlns:a14="http://schemas.microsoft.com/office/drawing/2010/main" val="0"/>
            </a:ext>
          </a:extLst>
        </a:blip>
        <a:stretch>
          <a:fillRect/>
        </a:stretch>
      </xdr:blipFill>
      <xdr:spPr>
        <a:xfrm>
          <a:off x="42833254" y="4435855"/>
          <a:ext cx="376138" cy="37647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447674</xdr:colOff>
      <xdr:row>4</xdr:row>
      <xdr:rowOff>245409</xdr:rowOff>
    </xdr:from>
    <xdr:to>
      <xdr:col>7</xdr:col>
      <xdr:colOff>17030700</xdr:colOff>
      <xdr:row>23</xdr:row>
      <xdr:rowOff>315883</xdr:rowOff>
    </xdr:to>
    <xdr:pic>
      <xdr:nvPicPr>
        <xdr:cNvPr id="87" name="Grafik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0224" y="3826809"/>
          <a:ext cx="17249776" cy="5366374"/>
        </a:xfrm>
        <a:prstGeom prst="rect">
          <a:avLst/>
        </a:prstGeom>
        <a:ln>
          <a:noFill/>
        </a:ln>
      </xdr:spPr>
    </xdr:pic>
    <xdr:clientData/>
  </xdr:twoCellAnchor>
  <mc:AlternateContent xmlns:mc="http://schemas.openxmlformats.org/markup-compatibility/2006">
    <mc:Choice xmlns:a14="http://schemas.microsoft.com/office/drawing/2010/main" Requires="a14">
      <xdr:twoCellAnchor editAs="oneCell">
        <xdr:from>
          <xdr:col>1</xdr:col>
          <xdr:colOff>0</xdr:colOff>
          <xdr:row>3</xdr:row>
          <xdr:rowOff>113950</xdr:rowOff>
        </xdr:from>
        <xdr:to>
          <xdr:col>3</xdr:col>
          <xdr:colOff>895976</xdr:colOff>
          <xdr:row>3</xdr:row>
          <xdr:rowOff>891556</xdr:rowOff>
        </xdr:to>
        <xdr:pic>
          <xdr:nvPicPr>
            <xdr:cNvPr id="13" name="Picture 12" hidden="1">
              <a:extLst>
                <a:ext uri="{FF2B5EF4-FFF2-40B4-BE49-F238E27FC236}">
                  <a16:creationId xmlns:a16="http://schemas.microsoft.com/office/drawing/2014/main" id="{00000000-0008-0000-0200-00000D000000}"/>
                </a:ext>
              </a:extLst>
            </xdr:cNvPr>
            <xdr:cNvPicPr>
              <a:picLocks noChangeAspect="1" noChangeArrowheads="1"/>
              <a:extLst>
                <a:ext uri="{84589F7E-364E-4C9E-8A38-B11213B215E9}">
                  <a14:cameraTool cellRange="TechnologyLookup" spid="_x0000_s213070"/>
                </a:ext>
              </a:extLst>
            </xdr:cNvPicPr>
          </xdr:nvPicPr>
          <xdr:blipFill rotWithShape="1">
            <a:blip xmlns:r="http://schemas.openxmlformats.org/officeDocument/2006/relationships" r:embed="rId2"/>
            <a:srcRect r="15737"/>
            <a:stretch>
              <a:fillRect/>
            </a:stretch>
          </xdr:blipFill>
          <xdr:spPr bwMode="auto">
            <a:xfrm>
              <a:off x="15964758" y="916771"/>
              <a:ext cx="1384349" cy="77760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133350</xdr:colOff>
      <xdr:row>3</xdr:row>
      <xdr:rowOff>2171700</xdr:rowOff>
    </xdr:from>
    <xdr:to>
      <xdr:col>7</xdr:col>
      <xdr:colOff>16802097</xdr:colOff>
      <xdr:row>25</xdr:row>
      <xdr:rowOff>323848</xdr:rowOff>
    </xdr:to>
    <xdr:grpSp>
      <xdr:nvGrpSpPr>
        <xdr:cNvPr id="113" name="Group 112">
          <a:extLst>
            <a:ext uri="{FF2B5EF4-FFF2-40B4-BE49-F238E27FC236}">
              <a16:creationId xmlns:a16="http://schemas.microsoft.com/office/drawing/2014/main" id="{00000000-0008-0000-0200-000071000000}"/>
            </a:ext>
          </a:extLst>
        </xdr:cNvPr>
        <xdr:cNvGrpSpPr/>
      </xdr:nvGrpSpPr>
      <xdr:grpSpPr>
        <a:xfrm>
          <a:off x="2927350" y="3489325"/>
          <a:ext cx="19161122" cy="6073773"/>
          <a:chOff x="13203850" y="4949160"/>
          <a:chExt cx="12357942" cy="6478181"/>
        </a:xfrm>
      </xdr:grpSpPr>
      <xdr:graphicFrame macro="">
        <xdr:nvGraphicFramePr>
          <xdr:cNvPr id="114" name="Chart 113">
            <a:extLst>
              <a:ext uri="{FF2B5EF4-FFF2-40B4-BE49-F238E27FC236}">
                <a16:creationId xmlns:a16="http://schemas.microsoft.com/office/drawing/2014/main" id="{00000000-0008-0000-0200-000072000000}"/>
              </a:ext>
            </a:extLst>
          </xdr:cNvPr>
          <xdr:cNvGraphicFramePr>
            <a:graphicFrameLocks noChangeAspect="1"/>
          </xdr:cNvGraphicFramePr>
        </xdr:nvGraphicFramePr>
        <xdr:xfrm>
          <a:off x="13203850" y="4949160"/>
          <a:ext cx="12158107" cy="6168677"/>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115" name="Group 114">
            <a:extLst>
              <a:ext uri="{FF2B5EF4-FFF2-40B4-BE49-F238E27FC236}">
                <a16:creationId xmlns:a16="http://schemas.microsoft.com/office/drawing/2014/main" id="{00000000-0008-0000-0200-000073000000}"/>
              </a:ext>
            </a:extLst>
          </xdr:cNvPr>
          <xdr:cNvGrpSpPr/>
        </xdr:nvGrpSpPr>
        <xdr:grpSpPr>
          <a:xfrm>
            <a:off x="14333999" y="10888029"/>
            <a:ext cx="11227793" cy="539312"/>
            <a:chOff x="14412276" y="11848073"/>
            <a:chExt cx="11208298" cy="545174"/>
          </a:xfrm>
        </xdr:grpSpPr>
        <xdr:sp macro="" textlink="">
          <xdr:nvSpPr>
            <xdr:cNvPr id="116" name="Textfeld 32">
              <a:extLst>
                <a:ext uri="{FF2B5EF4-FFF2-40B4-BE49-F238E27FC236}">
                  <a16:creationId xmlns:a16="http://schemas.microsoft.com/office/drawing/2014/main" id="{00000000-0008-0000-0200-000074000000}"/>
                </a:ext>
              </a:extLst>
            </xdr:cNvPr>
            <xdr:cNvSpPr txBox="1"/>
          </xdr:nvSpPr>
          <xdr:spPr>
            <a:xfrm>
              <a:off x="14412276" y="11848073"/>
              <a:ext cx="1545126" cy="545174"/>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300" b="1">
                  <a:solidFill>
                    <a:schemeClr val="tx1">
                      <a:lumMod val="75000"/>
                      <a:lumOff val="25000"/>
                    </a:schemeClr>
                  </a:solidFill>
                  <a:latin typeface="+mn-lt"/>
                </a:rPr>
                <a:t>Pre-Commercial</a:t>
              </a:r>
            </a:p>
            <a:p>
              <a:pPr algn="ctr"/>
              <a:r>
                <a:rPr lang="en-GB" sz="1300" b="1">
                  <a:solidFill>
                    <a:schemeClr val="tx1">
                      <a:lumMod val="75000"/>
                      <a:lumOff val="25000"/>
                    </a:schemeClr>
                  </a:solidFill>
                  <a:latin typeface="+mn-lt"/>
                </a:rPr>
                <a:t>Phase 0 </a:t>
              </a:r>
            </a:p>
          </xdr:txBody>
        </xdr:sp>
        <xdr:sp macro="" textlink="">
          <xdr:nvSpPr>
            <xdr:cNvPr id="117" name="Textfeld 32">
              <a:extLst>
                <a:ext uri="{FF2B5EF4-FFF2-40B4-BE49-F238E27FC236}">
                  <a16:creationId xmlns:a16="http://schemas.microsoft.com/office/drawing/2014/main" id="{00000000-0008-0000-0200-000075000000}"/>
                </a:ext>
              </a:extLst>
            </xdr:cNvPr>
            <xdr:cNvSpPr txBox="1"/>
          </xdr:nvSpPr>
          <xdr:spPr>
            <a:xfrm>
              <a:off x="16043242" y="11850368"/>
              <a:ext cx="2268639" cy="539710"/>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300" b="1">
                  <a:solidFill>
                    <a:schemeClr val="tx1">
                      <a:lumMod val="75000"/>
                      <a:lumOff val="25000"/>
                    </a:schemeClr>
                  </a:solidFill>
                  <a:latin typeface="+mn-lt"/>
                </a:rPr>
                <a:t>Pioneering</a:t>
              </a:r>
            </a:p>
            <a:p>
              <a:pPr algn="ctr"/>
              <a:r>
                <a:rPr lang="en-GB" sz="1300" b="1">
                  <a:solidFill>
                    <a:schemeClr val="tx1">
                      <a:lumMod val="75000"/>
                      <a:lumOff val="25000"/>
                    </a:schemeClr>
                  </a:solidFill>
                  <a:latin typeface="+mn-lt"/>
                </a:rPr>
                <a:t>Phase I</a:t>
              </a:r>
            </a:p>
          </xdr:txBody>
        </xdr:sp>
        <xdr:sp macro="" textlink="">
          <xdr:nvSpPr>
            <xdr:cNvPr id="118" name="Textfeld 32">
              <a:extLst>
                <a:ext uri="{FF2B5EF4-FFF2-40B4-BE49-F238E27FC236}">
                  <a16:creationId xmlns:a16="http://schemas.microsoft.com/office/drawing/2014/main" id="{00000000-0008-0000-0200-000076000000}"/>
                </a:ext>
              </a:extLst>
            </xdr:cNvPr>
            <xdr:cNvSpPr txBox="1"/>
          </xdr:nvSpPr>
          <xdr:spPr>
            <a:xfrm>
              <a:off x="18434510" y="11849657"/>
              <a:ext cx="2084695" cy="539710"/>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75000"/>
                      <a:lumOff val="25000"/>
                    </a:schemeClr>
                  </a:solidFill>
                  <a:latin typeface="+mn-lt"/>
                </a:rPr>
                <a:t>Expansion</a:t>
              </a:r>
              <a:endParaRPr lang="en-GB" sz="1300" b="1">
                <a:solidFill>
                  <a:schemeClr val="tx1">
                    <a:lumMod val="75000"/>
                    <a:lumOff val="25000"/>
                  </a:schemeClr>
                </a:solidFill>
                <a:latin typeface="+mn-lt"/>
              </a:endParaRPr>
            </a:p>
            <a:p>
              <a:pPr algn="ctr"/>
              <a:r>
                <a:rPr lang="en-GB" sz="1300" b="1">
                  <a:solidFill>
                    <a:schemeClr val="tx1">
                      <a:lumMod val="75000"/>
                      <a:lumOff val="25000"/>
                    </a:schemeClr>
                  </a:solidFill>
                  <a:latin typeface="+mn-lt"/>
                </a:rPr>
                <a:t>Phase II</a:t>
              </a:r>
            </a:p>
          </xdr:txBody>
        </xdr:sp>
        <xdr:sp macro="" textlink="">
          <xdr:nvSpPr>
            <xdr:cNvPr id="119" name="Textfeld 32">
              <a:extLst>
                <a:ext uri="{FF2B5EF4-FFF2-40B4-BE49-F238E27FC236}">
                  <a16:creationId xmlns:a16="http://schemas.microsoft.com/office/drawing/2014/main" id="{00000000-0008-0000-0200-000077000000}"/>
                </a:ext>
              </a:extLst>
            </xdr:cNvPr>
            <xdr:cNvSpPr txBox="1"/>
          </xdr:nvSpPr>
          <xdr:spPr>
            <a:xfrm>
              <a:off x="20601270" y="11849357"/>
              <a:ext cx="2358099" cy="539710"/>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75000"/>
                      <a:lumOff val="25000"/>
                    </a:schemeClr>
                  </a:solidFill>
                  <a:latin typeface="+mn-lt"/>
                </a:rPr>
                <a:t>Maturity</a:t>
              </a:r>
              <a:endParaRPr lang="en-GB" sz="1300" b="1">
                <a:solidFill>
                  <a:schemeClr val="tx1">
                    <a:lumMod val="75000"/>
                    <a:lumOff val="25000"/>
                  </a:schemeClr>
                </a:solidFill>
                <a:latin typeface="+mn-lt"/>
              </a:endParaRPr>
            </a:p>
            <a:p>
              <a:pPr algn="ctr"/>
              <a:r>
                <a:rPr lang="en-GB" sz="1300" b="1">
                  <a:solidFill>
                    <a:schemeClr val="tx1">
                      <a:lumMod val="75000"/>
                      <a:lumOff val="25000"/>
                    </a:schemeClr>
                  </a:solidFill>
                  <a:latin typeface="+mn-lt"/>
                </a:rPr>
                <a:t>Phase III</a:t>
              </a:r>
            </a:p>
          </xdr:txBody>
        </xdr:sp>
        <xdr:sp macro="" textlink="">
          <xdr:nvSpPr>
            <xdr:cNvPr id="120" name="Textfeld 32">
              <a:extLst>
                <a:ext uri="{FF2B5EF4-FFF2-40B4-BE49-F238E27FC236}">
                  <a16:creationId xmlns:a16="http://schemas.microsoft.com/office/drawing/2014/main" id="{00000000-0008-0000-0200-000078000000}"/>
                </a:ext>
              </a:extLst>
            </xdr:cNvPr>
            <xdr:cNvSpPr txBox="1"/>
          </xdr:nvSpPr>
          <xdr:spPr>
            <a:xfrm>
              <a:off x="23004932" y="11850792"/>
              <a:ext cx="1369220" cy="539711"/>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75000"/>
                      <a:lumOff val="25000"/>
                    </a:schemeClr>
                  </a:solidFill>
                  <a:latin typeface="+mn-lt"/>
                </a:rPr>
                <a:t>Saturation</a:t>
              </a:r>
            </a:p>
            <a:p>
              <a:pPr algn="ctr"/>
              <a:r>
                <a:rPr lang="en-US" sz="1300" b="1">
                  <a:solidFill>
                    <a:schemeClr val="tx1">
                      <a:lumMod val="75000"/>
                      <a:lumOff val="25000"/>
                    </a:schemeClr>
                  </a:solidFill>
                  <a:latin typeface="+mn-lt"/>
                </a:rPr>
                <a:t>Phase IV</a:t>
              </a:r>
              <a:endParaRPr lang="en-GB" sz="1300" b="1">
                <a:solidFill>
                  <a:schemeClr val="tx1">
                    <a:lumMod val="75000"/>
                    <a:lumOff val="25000"/>
                  </a:schemeClr>
                </a:solidFill>
                <a:latin typeface="+mn-lt"/>
              </a:endParaRPr>
            </a:p>
          </xdr:txBody>
        </xdr:sp>
        <xdr:sp macro="" textlink="">
          <xdr:nvSpPr>
            <xdr:cNvPr id="121" name="Textfeld 32">
              <a:extLst>
                <a:ext uri="{FF2B5EF4-FFF2-40B4-BE49-F238E27FC236}">
                  <a16:creationId xmlns:a16="http://schemas.microsoft.com/office/drawing/2014/main" id="{00000000-0008-0000-0200-000079000000}"/>
                </a:ext>
              </a:extLst>
            </xdr:cNvPr>
            <xdr:cNvSpPr txBox="1"/>
          </xdr:nvSpPr>
          <xdr:spPr>
            <a:xfrm>
              <a:off x="24341085" y="11850030"/>
              <a:ext cx="1279489" cy="54104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75000"/>
                      <a:lumOff val="25000"/>
                    </a:schemeClr>
                  </a:solidFill>
                  <a:latin typeface="+mn-lt"/>
                </a:rPr>
                <a:t>Degeneration</a:t>
              </a:r>
            </a:p>
            <a:p>
              <a:pPr algn="ctr"/>
              <a:r>
                <a:rPr lang="en-US" sz="1300" b="1">
                  <a:solidFill>
                    <a:schemeClr val="tx1">
                      <a:lumMod val="75000"/>
                      <a:lumOff val="25000"/>
                    </a:schemeClr>
                  </a:solidFill>
                  <a:latin typeface="+mn-lt"/>
                </a:rPr>
                <a:t>Phase V</a:t>
              </a:r>
              <a:endParaRPr lang="en-GB" sz="1300" b="1">
                <a:solidFill>
                  <a:schemeClr val="tx1">
                    <a:lumMod val="75000"/>
                    <a:lumOff val="25000"/>
                  </a:schemeClr>
                </a:solidFill>
                <a:latin typeface="+mn-lt"/>
              </a:endParaRPr>
            </a:p>
          </xdr:txBody>
        </xdr:sp>
      </xdr:grpSp>
    </xdr:grpSp>
    <xdr:clientData/>
  </xdr:twoCellAnchor>
  <xdr:twoCellAnchor>
    <xdr:from>
      <xdr:col>11</xdr:col>
      <xdr:colOff>285750</xdr:colOff>
      <xdr:row>4</xdr:row>
      <xdr:rowOff>287336</xdr:rowOff>
    </xdr:from>
    <xdr:to>
      <xdr:col>34</xdr:col>
      <xdr:colOff>0</xdr:colOff>
      <xdr:row>26</xdr:row>
      <xdr:rowOff>232833</xdr:rowOff>
    </xdr:to>
    <xdr:grpSp>
      <xdr:nvGrpSpPr>
        <xdr:cNvPr id="122" name="Group 121">
          <a:extLst>
            <a:ext uri="{FF2B5EF4-FFF2-40B4-BE49-F238E27FC236}">
              <a16:creationId xmlns:a16="http://schemas.microsoft.com/office/drawing/2014/main" id="{00000000-0008-0000-0200-00007A000000}"/>
            </a:ext>
          </a:extLst>
        </xdr:cNvPr>
        <xdr:cNvGrpSpPr/>
      </xdr:nvGrpSpPr>
      <xdr:grpSpPr>
        <a:xfrm>
          <a:off x="22764750" y="3868736"/>
          <a:ext cx="0" cy="6003397"/>
          <a:chOff x="50300950" y="7016747"/>
          <a:chExt cx="12139179" cy="6112773"/>
        </a:xfrm>
      </xdr:grpSpPr>
      <xdr:grpSp>
        <xdr:nvGrpSpPr>
          <xdr:cNvPr id="123" name="Group 122">
            <a:extLst>
              <a:ext uri="{FF2B5EF4-FFF2-40B4-BE49-F238E27FC236}">
                <a16:creationId xmlns:a16="http://schemas.microsoft.com/office/drawing/2014/main" id="{00000000-0008-0000-0200-00007B000000}"/>
              </a:ext>
            </a:extLst>
          </xdr:cNvPr>
          <xdr:cNvGrpSpPr/>
        </xdr:nvGrpSpPr>
        <xdr:grpSpPr>
          <a:xfrm>
            <a:off x="50303458" y="7016747"/>
            <a:ext cx="12132918" cy="5678788"/>
            <a:chOff x="57145583" y="6437312"/>
            <a:chExt cx="11850566" cy="5319918"/>
          </a:xfrm>
        </xdr:grpSpPr>
        <xdr:graphicFrame macro="">
          <xdr:nvGraphicFramePr>
            <xdr:cNvPr id="154" name="Chart 153">
              <a:extLst>
                <a:ext uri="{FF2B5EF4-FFF2-40B4-BE49-F238E27FC236}">
                  <a16:creationId xmlns:a16="http://schemas.microsoft.com/office/drawing/2014/main" id="{00000000-0008-0000-0200-00009A000000}"/>
                </a:ext>
              </a:extLst>
            </xdr:cNvPr>
            <xdr:cNvGraphicFramePr>
              <a:graphicFrameLocks/>
            </xdr:cNvGraphicFramePr>
          </xdr:nvGraphicFramePr>
          <xdr:xfrm>
            <a:off x="57145583" y="6437312"/>
            <a:ext cx="11850566" cy="5319918"/>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155" name="Group 154">
              <a:extLst>
                <a:ext uri="{FF2B5EF4-FFF2-40B4-BE49-F238E27FC236}">
                  <a16:creationId xmlns:a16="http://schemas.microsoft.com/office/drawing/2014/main" id="{00000000-0008-0000-0200-00009B000000}"/>
                </a:ext>
              </a:extLst>
            </xdr:cNvPr>
            <xdr:cNvGrpSpPr/>
          </xdr:nvGrpSpPr>
          <xdr:grpSpPr>
            <a:xfrm>
              <a:off x="57279513" y="6442727"/>
              <a:ext cx="410237" cy="5190423"/>
              <a:chOff x="57279513" y="6442727"/>
              <a:chExt cx="410237" cy="5190423"/>
            </a:xfrm>
          </xdr:grpSpPr>
          <xdr:sp macro="" textlink="">
            <xdr:nvSpPr>
              <xdr:cNvPr id="158" name="TextBox 157">
                <a:extLst>
                  <a:ext uri="{FF2B5EF4-FFF2-40B4-BE49-F238E27FC236}">
                    <a16:creationId xmlns:a16="http://schemas.microsoft.com/office/drawing/2014/main" id="{00000000-0008-0000-0200-00009E000000}"/>
                  </a:ext>
                </a:extLst>
              </xdr:cNvPr>
              <xdr:cNvSpPr txBox="1"/>
            </xdr:nvSpPr>
            <xdr:spPr>
              <a:xfrm rot="16200000">
                <a:off x="56571726" y="7211501"/>
                <a:ext cx="1886798"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tx2"/>
                    </a:solidFill>
                  </a:rPr>
                  <a:t>Supply</a:t>
                </a:r>
                <a:r>
                  <a:rPr lang="en-GB" sz="1400" b="1" baseline="0">
                    <a:solidFill>
                      <a:schemeClr val="tx2"/>
                    </a:solidFill>
                  </a:rPr>
                  <a:t> side</a:t>
                </a:r>
                <a:endParaRPr lang="en-GB" sz="1400" b="1">
                  <a:solidFill>
                    <a:schemeClr val="tx2"/>
                  </a:solidFill>
                </a:endParaRPr>
              </a:p>
            </xdr:txBody>
          </xdr:sp>
          <xdr:sp macro="" textlink="">
            <xdr:nvSpPr>
              <xdr:cNvPr id="159" name="TextBox 158">
                <a:extLst>
                  <a:ext uri="{FF2B5EF4-FFF2-40B4-BE49-F238E27FC236}">
                    <a16:creationId xmlns:a16="http://schemas.microsoft.com/office/drawing/2014/main" id="{00000000-0008-0000-0200-00009F000000}"/>
                  </a:ext>
                </a:extLst>
              </xdr:cNvPr>
              <xdr:cNvSpPr txBox="1"/>
            </xdr:nvSpPr>
            <xdr:spPr>
              <a:xfrm rot="16200000">
                <a:off x="56659746" y="9008451"/>
                <a:ext cx="1679458"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tx2"/>
                    </a:solidFill>
                  </a:rPr>
                  <a:t>Demand </a:t>
                </a:r>
                <a:r>
                  <a:rPr lang="en-GB" sz="1400" b="1" baseline="0">
                    <a:solidFill>
                      <a:schemeClr val="tx2"/>
                    </a:solidFill>
                  </a:rPr>
                  <a:t>side</a:t>
                </a:r>
                <a:endParaRPr lang="en-GB" sz="1400" b="1">
                  <a:solidFill>
                    <a:schemeClr val="tx2"/>
                  </a:solidFill>
                </a:endParaRPr>
              </a:p>
            </xdr:txBody>
          </xdr:sp>
          <xdr:sp macro="" textlink="">
            <xdr:nvSpPr>
              <xdr:cNvPr id="160" name="TextBox 159">
                <a:extLst>
                  <a:ext uri="{FF2B5EF4-FFF2-40B4-BE49-F238E27FC236}">
                    <a16:creationId xmlns:a16="http://schemas.microsoft.com/office/drawing/2014/main" id="{00000000-0008-0000-0200-0000A0000000}"/>
                  </a:ext>
                </a:extLst>
              </xdr:cNvPr>
              <xdr:cNvSpPr txBox="1"/>
            </xdr:nvSpPr>
            <xdr:spPr>
              <a:xfrm rot="16200000">
                <a:off x="56635142" y="10639530"/>
                <a:ext cx="1637991"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solidFill>
                      <a:schemeClr val="tx2"/>
                    </a:solidFill>
                  </a:rPr>
                  <a:t>Enabling environment</a:t>
                </a:r>
              </a:p>
            </xdr:txBody>
          </xdr:sp>
        </xdr:grpSp>
        <xdr:cxnSp macro="">
          <xdr:nvCxnSpPr>
            <xdr:cNvPr id="156" name="Straight Connector 155">
              <a:extLst>
                <a:ext uri="{FF2B5EF4-FFF2-40B4-BE49-F238E27FC236}">
                  <a16:creationId xmlns:a16="http://schemas.microsoft.com/office/drawing/2014/main" id="{00000000-0008-0000-0200-00009C000000}"/>
                </a:ext>
              </a:extLst>
            </xdr:cNvPr>
            <xdr:cNvCxnSpPr/>
          </xdr:nvCxnSpPr>
          <xdr:spPr>
            <a:xfrm flipV="1">
              <a:off x="57279313" y="8342313"/>
              <a:ext cx="11411812" cy="1035"/>
            </a:xfrm>
            <a:prstGeom prst="line">
              <a:avLst/>
            </a:prstGeom>
            <a:ln>
              <a:solidFill>
                <a:schemeClr val="tx2"/>
              </a:solidFill>
            </a:ln>
          </xdr:spPr>
          <xdr:style>
            <a:lnRef idx="1">
              <a:schemeClr val="accent3"/>
            </a:lnRef>
            <a:fillRef idx="0">
              <a:schemeClr val="accent3"/>
            </a:fillRef>
            <a:effectRef idx="0">
              <a:schemeClr val="accent3"/>
            </a:effectRef>
            <a:fontRef idx="minor">
              <a:schemeClr val="tx1"/>
            </a:fontRef>
          </xdr:style>
        </xdr:cxnSp>
        <xdr:cxnSp macro="">
          <xdr:nvCxnSpPr>
            <xdr:cNvPr id="157" name="Straight Connector 156">
              <a:extLst>
                <a:ext uri="{FF2B5EF4-FFF2-40B4-BE49-F238E27FC236}">
                  <a16:creationId xmlns:a16="http://schemas.microsoft.com/office/drawing/2014/main" id="{00000000-0008-0000-0200-00009D000000}"/>
                </a:ext>
              </a:extLst>
            </xdr:cNvPr>
            <xdr:cNvCxnSpPr/>
          </xdr:nvCxnSpPr>
          <xdr:spPr>
            <a:xfrm flipV="1">
              <a:off x="57279313" y="10008812"/>
              <a:ext cx="11411864" cy="171"/>
            </a:xfrm>
            <a:prstGeom prst="line">
              <a:avLst/>
            </a:prstGeom>
            <a:ln>
              <a:solidFill>
                <a:schemeClr val="tx2"/>
              </a:solidFill>
            </a:ln>
          </xdr:spPr>
          <xdr:style>
            <a:lnRef idx="1">
              <a:schemeClr val="accent3"/>
            </a:lnRef>
            <a:fillRef idx="0">
              <a:schemeClr val="accent3"/>
            </a:fillRef>
            <a:effectRef idx="0">
              <a:schemeClr val="accent3"/>
            </a:effectRef>
            <a:fontRef idx="minor">
              <a:schemeClr val="tx1"/>
            </a:fontRef>
          </xdr:style>
        </xdr:cxnSp>
      </xdr:grpSp>
      <xdr:grpSp>
        <xdr:nvGrpSpPr>
          <xdr:cNvPr id="124" name="Group 123">
            <a:extLst>
              <a:ext uri="{FF2B5EF4-FFF2-40B4-BE49-F238E27FC236}">
                <a16:creationId xmlns:a16="http://schemas.microsoft.com/office/drawing/2014/main" id="{00000000-0008-0000-0200-00007C000000}"/>
              </a:ext>
            </a:extLst>
          </xdr:cNvPr>
          <xdr:cNvGrpSpPr/>
        </xdr:nvGrpSpPr>
        <xdr:grpSpPr>
          <a:xfrm>
            <a:off x="50300950" y="12604749"/>
            <a:ext cx="12139179" cy="524771"/>
            <a:chOff x="28015325" y="14446250"/>
            <a:chExt cx="10626842" cy="524771"/>
          </a:xfrm>
        </xdr:grpSpPr>
        <xdr:sp macro="" textlink="">
          <xdr:nvSpPr>
            <xdr:cNvPr id="125" name="Textfeld 32">
              <a:extLst>
                <a:ext uri="{FF2B5EF4-FFF2-40B4-BE49-F238E27FC236}">
                  <a16:creationId xmlns:a16="http://schemas.microsoft.com/office/drawing/2014/main" id="{00000000-0008-0000-0200-00007D000000}"/>
                </a:ext>
              </a:extLst>
            </xdr:cNvPr>
            <xdr:cNvSpPr txBox="1"/>
          </xdr:nvSpPr>
          <xdr:spPr>
            <a:xfrm>
              <a:off x="28015325" y="14446250"/>
              <a:ext cx="1723621"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300" b="1">
                  <a:solidFill>
                    <a:schemeClr val="tx1">
                      <a:lumMod val="65000"/>
                      <a:lumOff val="35000"/>
                    </a:schemeClr>
                  </a:solidFill>
                </a:rPr>
                <a:t>Pre-Commercial</a:t>
              </a:r>
            </a:p>
            <a:p>
              <a:pPr algn="ctr"/>
              <a:r>
                <a:rPr lang="en-GB" sz="1300" b="1">
                  <a:solidFill>
                    <a:schemeClr val="tx1">
                      <a:lumMod val="65000"/>
                      <a:lumOff val="35000"/>
                    </a:schemeClr>
                  </a:solidFill>
                </a:rPr>
                <a:t>Phase 0 </a:t>
              </a:r>
            </a:p>
          </xdr:txBody>
        </xdr:sp>
        <xdr:sp macro="" textlink="">
          <xdr:nvSpPr>
            <xdr:cNvPr id="126" name="Textfeld 32">
              <a:extLst>
                <a:ext uri="{FF2B5EF4-FFF2-40B4-BE49-F238E27FC236}">
                  <a16:creationId xmlns:a16="http://schemas.microsoft.com/office/drawing/2014/main" id="{00000000-0008-0000-0200-00007E000000}"/>
                </a:ext>
              </a:extLst>
            </xdr:cNvPr>
            <xdr:cNvSpPr txBox="1"/>
          </xdr:nvSpPr>
          <xdr:spPr>
            <a:xfrm>
              <a:off x="29712829" y="14446251"/>
              <a:ext cx="2141921"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300" b="1">
                  <a:solidFill>
                    <a:schemeClr val="tx1">
                      <a:lumMod val="65000"/>
                      <a:lumOff val="35000"/>
                    </a:schemeClr>
                  </a:solidFill>
                </a:rPr>
                <a:t>Pioneering</a:t>
              </a:r>
            </a:p>
            <a:p>
              <a:pPr algn="ctr"/>
              <a:r>
                <a:rPr lang="en-GB" sz="1300" b="1">
                  <a:solidFill>
                    <a:schemeClr val="tx1">
                      <a:lumMod val="65000"/>
                      <a:lumOff val="35000"/>
                    </a:schemeClr>
                  </a:solidFill>
                </a:rPr>
                <a:t>Phase I</a:t>
              </a:r>
            </a:p>
          </xdr:txBody>
        </xdr:sp>
        <xdr:sp macro="" textlink="">
          <xdr:nvSpPr>
            <xdr:cNvPr id="127" name="Textfeld 32">
              <a:extLst>
                <a:ext uri="{FF2B5EF4-FFF2-40B4-BE49-F238E27FC236}">
                  <a16:creationId xmlns:a16="http://schemas.microsoft.com/office/drawing/2014/main" id="{00000000-0008-0000-0200-00007F000000}"/>
                </a:ext>
              </a:extLst>
            </xdr:cNvPr>
            <xdr:cNvSpPr txBox="1"/>
          </xdr:nvSpPr>
          <xdr:spPr>
            <a:xfrm>
              <a:off x="31841332" y="14446251"/>
              <a:ext cx="2341142"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65000"/>
                      <a:lumOff val="35000"/>
                    </a:schemeClr>
                  </a:solidFill>
                </a:rPr>
                <a:t>Expansion</a:t>
              </a:r>
              <a:endParaRPr lang="en-GB" sz="1300" b="1">
                <a:solidFill>
                  <a:schemeClr val="tx1">
                    <a:lumMod val="65000"/>
                    <a:lumOff val="35000"/>
                  </a:schemeClr>
                </a:solidFill>
              </a:endParaRPr>
            </a:p>
            <a:p>
              <a:pPr algn="ctr"/>
              <a:r>
                <a:rPr lang="en-GB" sz="1300" b="1">
                  <a:solidFill>
                    <a:schemeClr val="tx1">
                      <a:lumMod val="65000"/>
                      <a:lumOff val="35000"/>
                    </a:schemeClr>
                  </a:solidFill>
                </a:rPr>
                <a:t>Phase II</a:t>
              </a:r>
            </a:p>
          </xdr:txBody>
        </xdr:sp>
        <xdr:sp macro="" textlink="">
          <xdr:nvSpPr>
            <xdr:cNvPr id="128" name="Textfeld 32">
              <a:extLst>
                <a:ext uri="{FF2B5EF4-FFF2-40B4-BE49-F238E27FC236}">
                  <a16:creationId xmlns:a16="http://schemas.microsoft.com/office/drawing/2014/main" id="{00000000-0008-0000-0200-000080000000}"/>
                </a:ext>
              </a:extLst>
            </xdr:cNvPr>
            <xdr:cNvSpPr txBox="1"/>
          </xdr:nvSpPr>
          <xdr:spPr>
            <a:xfrm>
              <a:off x="34085918" y="14446251"/>
              <a:ext cx="2074986"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65000"/>
                      <a:lumOff val="35000"/>
                    </a:schemeClr>
                  </a:solidFill>
                </a:rPr>
                <a:t>Maturity</a:t>
              </a:r>
              <a:endParaRPr lang="en-GB" sz="1300" b="1">
                <a:solidFill>
                  <a:schemeClr val="tx1">
                    <a:lumMod val="65000"/>
                    <a:lumOff val="35000"/>
                  </a:schemeClr>
                </a:solidFill>
              </a:endParaRPr>
            </a:p>
            <a:p>
              <a:pPr algn="ctr"/>
              <a:r>
                <a:rPr lang="en-GB" sz="1300" b="1">
                  <a:solidFill>
                    <a:schemeClr val="tx1">
                      <a:lumMod val="65000"/>
                      <a:lumOff val="35000"/>
                    </a:schemeClr>
                  </a:solidFill>
                </a:rPr>
                <a:t>Phase III</a:t>
              </a:r>
            </a:p>
          </xdr:txBody>
        </xdr:sp>
        <xdr:sp macro="" textlink="">
          <xdr:nvSpPr>
            <xdr:cNvPr id="152" name="Textfeld 32">
              <a:extLst>
                <a:ext uri="{FF2B5EF4-FFF2-40B4-BE49-F238E27FC236}">
                  <a16:creationId xmlns:a16="http://schemas.microsoft.com/office/drawing/2014/main" id="{00000000-0008-0000-0200-000098000000}"/>
                </a:ext>
              </a:extLst>
            </xdr:cNvPr>
            <xdr:cNvSpPr txBox="1"/>
          </xdr:nvSpPr>
          <xdr:spPr>
            <a:xfrm>
              <a:off x="36160905" y="14446251"/>
              <a:ext cx="1204831"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65000"/>
                      <a:lumOff val="35000"/>
                    </a:schemeClr>
                  </a:solidFill>
                </a:rPr>
                <a:t>Saturation</a:t>
              </a:r>
            </a:p>
            <a:p>
              <a:pPr algn="ctr"/>
              <a:r>
                <a:rPr lang="en-US" sz="1300" b="1">
                  <a:solidFill>
                    <a:schemeClr val="tx1">
                      <a:lumMod val="65000"/>
                      <a:lumOff val="35000"/>
                    </a:schemeClr>
                  </a:solidFill>
                </a:rPr>
                <a:t>Phase IV</a:t>
              </a:r>
              <a:endParaRPr lang="en-GB" sz="1300" b="1">
                <a:solidFill>
                  <a:schemeClr val="tx1">
                    <a:lumMod val="65000"/>
                    <a:lumOff val="35000"/>
                  </a:schemeClr>
                </a:solidFill>
              </a:endParaRPr>
            </a:p>
          </xdr:txBody>
        </xdr:sp>
        <xdr:sp macro="" textlink="">
          <xdr:nvSpPr>
            <xdr:cNvPr id="153" name="Textfeld 32">
              <a:extLst>
                <a:ext uri="{FF2B5EF4-FFF2-40B4-BE49-F238E27FC236}">
                  <a16:creationId xmlns:a16="http://schemas.microsoft.com/office/drawing/2014/main" id="{00000000-0008-0000-0200-000099000000}"/>
                </a:ext>
              </a:extLst>
            </xdr:cNvPr>
            <xdr:cNvSpPr txBox="1"/>
          </xdr:nvSpPr>
          <xdr:spPr>
            <a:xfrm>
              <a:off x="37360619" y="14446252"/>
              <a:ext cx="1281548"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65000"/>
                      <a:lumOff val="35000"/>
                    </a:schemeClr>
                  </a:solidFill>
                </a:rPr>
                <a:t>Degeneration</a:t>
              </a:r>
            </a:p>
            <a:p>
              <a:pPr algn="ctr"/>
              <a:r>
                <a:rPr lang="en-US" sz="1300" b="1">
                  <a:solidFill>
                    <a:schemeClr val="tx1">
                      <a:lumMod val="65000"/>
                      <a:lumOff val="35000"/>
                    </a:schemeClr>
                  </a:solidFill>
                </a:rPr>
                <a:t>Phase V</a:t>
              </a:r>
              <a:endParaRPr lang="en-GB" sz="1300" b="1">
                <a:solidFill>
                  <a:schemeClr val="tx1">
                    <a:lumMod val="65000"/>
                    <a:lumOff val="35000"/>
                  </a:schemeClr>
                </a:solidFill>
              </a:endParaRPr>
            </a:p>
          </xdr:txBody>
        </xdr:sp>
      </xdr:grpSp>
    </xdr:grpSp>
    <xdr:clientData/>
  </xdr:twoCellAnchor>
  <xdr:twoCellAnchor>
    <xdr:from>
      <xdr:col>18</xdr:col>
      <xdr:colOff>312964</xdr:colOff>
      <xdr:row>27</xdr:row>
      <xdr:rowOff>159960</xdr:rowOff>
    </xdr:from>
    <xdr:to>
      <xdr:col>33</xdr:col>
      <xdr:colOff>225137</xdr:colOff>
      <xdr:row>39</xdr:row>
      <xdr:rowOff>0</xdr:rowOff>
    </xdr:to>
    <xdr:grpSp>
      <xdr:nvGrpSpPr>
        <xdr:cNvPr id="63" name="Group 62">
          <a:extLst>
            <a:ext uri="{FF2B5EF4-FFF2-40B4-BE49-F238E27FC236}">
              <a16:creationId xmlns:a16="http://schemas.microsoft.com/office/drawing/2014/main" id="{00000000-0008-0000-0200-00003F000000}"/>
            </a:ext>
          </a:extLst>
        </xdr:cNvPr>
        <xdr:cNvGrpSpPr/>
      </xdr:nvGrpSpPr>
      <xdr:grpSpPr>
        <a:xfrm>
          <a:off x="22764750" y="10046910"/>
          <a:ext cx="0" cy="7364790"/>
          <a:chOff x="71609049" y="6655747"/>
          <a:chExt cx="10823046" cy="6772262"/>
        </a:xfrm>
      </xdr:grpSpPr>
      <xdr:graphicFrame macro="">
        <xdr:nvGraphicFramePr>
          <xdr:cNvPr id="64" name="Chart 63">
            <a:extLst>
              <a:ext uri="{FF2B5EF4-FFF2-40B4-BE49-F238E27FC236}">
                <a16:creationId xmlns:a16="http://schemas.microsoft.com/office/drawing/2014/main" id="{00000000-0008-0000-0200-000040000000}"/>
              </a:ext>
            </a:extLst>
          </xdr:cNvPr>
          <xdr:cNvGraphicFramePr>
            <a:graphicFrameLocks noChangeAspect="1"/>
          </xdr:cNvGraphicFramePr>
        </xdr:nvGraphicFramePr>
        <xdr:xfrm>
          <a:off x="71609049" y="6655747"/>
          <a:ext cx="10821630" cy="6772262"/>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65" name="Group 64">
            <a:extLst>
              <a:ext uri="{FF2B5EF4-FFF2-40B4-BE49-F238E27FC236}">
                <a16:creationId xmlns:a16="http://schemas.microsoft.com/office/drawing/2014/main" id="{00000000-0008-0000-0200-000041000000}"/>
              </a:ext>
            </a:extLst>
          </xdr:cNvPr>
          <xdr:cNvGrpSpPr/>
        </xdr:nvGrpSpPr>
        <xdr:grpSpPr>
          <a:xfrm>
            <a:off x="72738982" y="12476207"/>
            <a:ext cx="9693113" cy="551225"/>
            <a:chOff x="19373419" y="11206727"/>
            <a:chExt cx="10900357" cy="507553"/>
          </a:xfrm>
        </xdr:grpSpPr>
        <xdr:sp macro="" textlink="">
          <xdr:nvSpPr>
            <xdr:cNvPr id="66" name="Textfeld 32">
              <a:extLst>
                <a:ext uri="{FF2B5EF4-FFF2-40B4-BE49-F238E27FC236}">
                  <a16:creationId xmlns:a16="http://schemas.microsoft.com/office/drawing/2014/main" id="{00000000-0008-0000-0200-000042000000}"/>
                </a:ext>
              </a:extLst>
            </xdr:cNvPr>
            <xdr:cNvSpPr txBox="1"/>
          </xdr:nvSpPr>
          <xdr:spPr>
            <a:xfrm>
              <a:off x="19373419" y="11212336"/>
              <a:ext cx="1872537" cy="495818"/>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800" b="1">
                  <a:solidFill>
                    <a:schemeClr val="tx1">
                      <a:lumMod val="65000"/>
                      <a:lumOff val="35000"/>
                    </a:schemeClr>
                  </a:solidFill>
                </a:rPr>
                <a:t>Pre-Commercial</a:t>
              </a:r>
            </a:p>
            <a:p>
              <a:pPr algn="ctr"/>
              <a:r>
                <a:rPr lang="en-GB" sz="900" b="1">
                  <a:solidFill>
                    <a:schemeClr val="tx1">
                      <a:lumMod val="65000"/>
                      <a:lumOff val="35000"/>
                    </a:schemeClr>
                  </a:solidFill>
                </a:rPr>
                <a:t>Phase 0 </a:t>
              </a:r>
            </a:p>
          </xdr:txBody>
        </xdr:sp>
        <xdr:sp macro="" textlink="">
          <xdr:nvSpPr>
            <xdr:cNvPr id="67" name="Textfeld 32">
              <a:extLst>
                <a:ext uri="{FF2B5EF4-FFF2-40B4-BE49-F238E27FC236}">
                  <a16:creationId xmlns:a16="http://schemas.microsoft.com/office/drawing/2014/main" id="{00000000-0008-0000-0200-000043000000}"/>
                </a:ext>
              </a:extLst>
            </xdr:cNvPr>
            <xdr:cNvSpPr txBox="1"/>
          </xdr:nvSpPr>
          <xdr:spPr>
            <a:xfrm>
              <a:off x="21204364" y="11210662"/>
              <a:ext cx="2138584" cy="495843"/>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900" b="1">
                  <a:solidFill>
                    <a:schemeClr val="tx1">
                      <a:lumMod val="65000"/>
                      <a:lumOff val="35000"/>
                    </a:schemeClr>
                  </a:solidFill>
                </a:rPr>
                <a:t>Pioneering</a:t>
              </a:r>
            </a:p>
            <a:p>
              <a:pPr algn="ctr"/>
              <a:r>
                <a:rPr lang="en-GB" sz="900" b="1">
                  <a:solidFill>
                    <a:schemeClr val="tx1">
                      <a:lumMod val="65000"/>
                      <a:lumOff val="35000"/>
                    </a:schemeClr>
                  </a:solidFill>
                </a:rPr>
                <a:t>Phase I</a:t>
              </a:r>
            </a:p>
          </xdr:txBody>
        </xdr:sp>
        <xdr:sp macro="" textlink="">
          <xdr:nvSpPr>
            <xdr:cNvPr id="68" name="Textfeld 32">
              <a:extLst>
                <a:ext uri="{FF2B5EF4-FFF2-40B4-BE49-F238E27FC236}">
                  <a16:creationId xmlns:a16="http://schemas.microsoft.com/office/drawing/2014/main" id="{00000000-0008-0000-0200-000044000000}"/>
                </a:ext>
              </a:extLst>
            </xdr:cNvPr>
            <xdr:cNvSpPr txBox="1"/>
          </xdr:nvSpPr>
          <xdr:spPr>
            <a:xfrm>
              <a:off x="23341359" y="11206727"/>
              <a:ext cx="2292055" cy="506296"/>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900" b="1">
                  <a:solidFill>
                    <a:schemeClr val="tx1">
                      <a:lumMod val="65000"/>
                      <a:lumOff val="35000"/>
                    </a:schemeClr>
                  </a:solidFill>
                </a:rPr>
                <a:t>Expansion</a:t>
              </a:r>
              <a:endParaRPr lang="en-GB" sz="900" b="1">
                <a:solidFill>
                  <a:schemeClr val="tx1">
                    <a:lumMod val="65000"/>
                    <a:lumOff val="35000"/>
                  </a:schemeClr>
                </a:solidFill>
              </a:endParaRPr>
            </a:p>
            <a:p>
              <a:pPr algn="ctr"/>
              <a:r>
                <a:rPr lang="en-GB" sz="900" b="1">
                  <a:solidFill>
                    <a:schemeClr val="tx1">
                      <a:lumMod val="65000"/>
                      <a:lumOff val="35000"/>
                    </a:schemeClr>
                  </a:solidFill>
                </a:rPr>
                <a:t>Phase II</a:t>
              </a:r>
            </a:p>
          </xdr:txBody>
        </xdr:sp>
        <xdr:sp macro="" textlink="">
          <xdr:nvSpPr>
            <xdr:cNvPr id="69" name="Textfeld 32">
              <a:extLst>
                <a:ext uri="{FF2B5EF4-FFF2-40B4-BE49-F238E27FC236}">
                  <a16:creationId xmlns:a16="http://schemas.microsoft.com/office/drawing/2014/main" id="{00000000-0008-0000-0200-000045000000}"/>
                </a:ext>
              </a:extLst>
            </xdr:cNvPr>
            <xdr:cNvSpPr txBox="1"/>
          </xdr:nvSpPr>
          <xdr:spPr>
            <a:xfrm>
              <a:off x="25583218" y="11210663"/>
              <a:ext cx="2143781" cy="501006"/>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900" b="1">
                  <a:solidFill>
                    <a:schemeClr val="tx1">
                      <a:lumMod val="65000"/>
                      <a:lumOff val="35000"/>
                    </a:schemeClr>
                  </a:solidFill>
                </a:rPr>
                <a:t>Maturity</a:t>
              </a:r>
              <a:endParaRPr lang="en-GB" sz="900" b="1">
                <a:solidFill>
                  <a:schemeClr val="tx1">
                    <a:lumMod val="65000"/>
                    <a:lumOff val="35000"/>
                  </a:schemeClr>
                </a:solidFill>
              </a:endParaRPr>
            </a:p>
            <a:p>
              <a:pPr algn="ctr"/>
              <a:r>
                <a:rPr lang="en-GB" sz="900" b="1">
                  <a:solidFill>
                    <a:schemeClr val="tx1">
                      <a:lumMod val="65000"/>
                      <a:lumOff val="35000"/>
                    </a:schemeClr>
                  </a:solidFill>
                </a:rPr>
                <a:t>Phase III</a:t>
              </a:r>
            </a:p>
          </xdr:txBody>
        </xdr:sp>
        <xdr:sp macro="" textlink="">
          <xdr:nvSpPr>
            <xdr:cNvPr id="70" name="Textfeld 32">
              <a:extLst>
                <a:ext uri="{FF2B5EF4-FFF2-40B4-BE49-F238E27FC236}">
                  <a16:creationId xmlns:a16="http://schemas.microsoft.com/office/drawing/2014/main" id="{00000000-0008-0000-0200-000046000000}"/>
                </a:ext>
              </a:extLst>
            </xdr:cNvPr>
            <xdr:cNvSpPr txBox="1"/>
          </xdr:nvSpPr>
          <xdr:spPr>
            <a:xfrm>
              <a:off x="27716890" y="11207409"/>
              <a:ext cx="1240168" cy="506296"/>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800" b="1">
                  <a:solidFill>
                    <a:schemeClr val="tx1">
                      <a:lumMod val="65000"/>
                      <a:lumOff val="35000"/>
                    </a:schemeClr>
                  </a:solidFill>
                </a:rPr>
                <a:t>Saturation</a:t>
              </a:r>
              <a:endParaRPr lang="en-US" sz="900" b="1">
                <a:solidFill>
                  <a:schemeClr val="tx1">
                    <a:lumMod val="65000"/>
                    <a:lumOff val="35000"/>
                  </a:schemeClr>
                </a:solidFill>
              </a:endParaRPr>
            </a:p>
            <a:p>
              <a:pPr algn="ctr"/>
              <a:r>
                <a:rPr lang="en-US" sz="900" b="1">
                  <a:solidFill>
                    <a:schemeClr val="tx1">
                      <a:lumMod val="65000"/>
                      <a:lumOff val="35000"/>
                    </a:schemeClr>
                  </a:solidFill>
                </a:rPr>
                <a:t>Phase IV</a:t>
              </a:r>
              <a:endParaRPr lang="en-GB" sz="900" b="1">
                <a:solidFill>
                  <a:schemeClr val="tx1">
                    <a:lumMod val="65000"/>
                    <a:lumOff val="35000"/>
                  </a:schemeClr>
                </a:solidFill>
              </a:endParaRPr>
            </a:p>
          </xdr:txBody>
        </xdr:sp>
        <xdr:sp macro="" textlink="">
          <xdr:nvSpPr>
            <xdr:cNvPr id="74" name="Textfeld 32">
              <a:extLst>
                <a:ext uri="{FF2B5EF4-FFF2-40B4-BE49-F238E27FC236}">
                  <a16:creationId xmlns:a16="http://schemas.microsoft.com/office/drawing/2014/main" id="{00000000-0008-0000-0200-00004A000000}"/>
                </a:ext>
              </a:extLst>
            </xdr:cNvPr>
            <xdr:cNvSpPr txBox="1"/>
          </xdr:nvSpPr>
          <xdr:spPr>
            <a:xfrm>
              <a:off x="28950445" y="11207985"/>
              <a:ext cx="1323331" cy="506295"/>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800" b="1">
                  <a:solidFill>
                    <a:schemeClr val="tx1">
                      <a:lumMod val="65000"/>
                      <a:lumOff val="35000"/>
                    </a:schemeClr>
                  </a:solidFill>
                </a:rPr>
                <a:t>Degeneration</a:t>
              </a:r>
            </a:p>
            <a:p>
              <a:pPr algn="ctr"/>
              <a:r>
                <a:rPr lang="en-US" sz="900" b="1">
                  <a:solidFill>
                    <a:schemeClr val="tx1">
                      <a:lumMod val="65000"/>
                      <a:lumOff val="35000"/>
                    </a:schemeClr>
                  </a:solidFill>
                </a:rPr>
                <a:t>Phase V</a:t>
              </a:r>
              <a:endParaRPr lang="en-GB" sz="900" b="1">
                <a:solidFill>
                  <a:schemeClr val="tx1">
                    <a:lumMod val="65000"/>
                    <a:lumOff val="35000"/>
                  </a:schemeClr>
                </a:solidFill>
              </a:endParaRPr>
            </a:p>
          </xdr:txBody>
        </xdr:sp>
      </xdr:grpSp>
    </xdr:grpSp>
    <xdr:clientData/>
  </xdr:twoCellAnchor>
  <xdr:twoCellAnchor>
    <xdr:from>
      <xdr:col>17</xdr:col>
      <xdr:colOff>388972</xdr:colOff>
      <xdr:row>39</xdr:row>
      <xdr:rowOff>0</xdr:rowOff>
    </xdr:from>
    <xdr:to>
      <xdr:col>34</xdr:col>
      <xdr:colOff>8150</xdr:colOff>
      <xdr:row>54</xdr:row>
      <xdr:rowOff>302558</xdr:rowOff>
    </xdr:to>
    <xdr:grpSp>
      <xdr:nvGrpSpPr>
        <xdr:cNvPr id="75" name="Group 74">
          <a:extLst>
            <a:ext uri="{FF2B5EF4-FFF2-40B4-BE49-F238E27FC236}">
              <a16:creationId xmlns:a16="http://schemas.microsoft.com/office/drawing/2014/main" id="{00000000-0008-0000-0200-00004B000000}"/>
            </a:ext>
          </a:extLst>
        </xdr:cNvPr>
        <xdr:cNvGrpSpPr/>
      </xdr:nvGrpSpPr>
      <xdr:grpSpPr>
        <a:xfrm>
          <a:off x="22764750" y="17411700"/>
          <a:ext cx="0" cy="8856008"/>
          <a:chOff x="71609049" y="6205072"/>
          <a:chExt cx="10821630" cy="8214618"/>
        </a:xfrm>
      </xdr:grpSpPr>
      <xdr:graphicFrame macro="">
        <xdr:nvGraphicFramePr>
          <xdr:cNvPr id="76" name="Chart 75">
            <a:extLst>
              <a:ext uri="{FF2B5EF4-FFF2-40B4-BE49-F238E27FC236}">
                <a16:creationId xmlns:a16="http://schemas.microsoft.com/office/drawing/2014/main" id="{00000000-0008-0000-0200-00004C000000}"/>
              </a:ext>
            </a:extLst>
          </xdr:cNvPr>
          <xdr:cNvGraphicFramePr>
            <a:graphicFrameLocks noChangeAspect="1"/>
          </xdr:cNvGraphicFramePr>
        </xdr:nvGraphicFramePr>
        <xdr:xfrm>
          <a:off x="71609049" y="6205072"/>
          <a:ext cx="10821630" cy="8214618"/>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77" name="Group 76">
            <a:extLst>
              <a:ext uri="{FF2B5EF4-FFF2-40B4-BE49-F238E27FC236}">
                <a16:creationId xmlns:a16="http://schemas.microsoft.com/office/drawing/2014/main" id="{00000000-0008-0000-0200-00004D000000}"/>
              </a:ext>
            </a:extLst>
          </xdr:cNvPr>
          <xdr:cNvGrpSpPr/>
        </xdr:nvGrpSpPr>
        <xdr:grpSpPr>
          <a:xfrm>
            <a:off x="73268154" y="13095713"/>
            <a:ext cx="9017999" cy="554841"/>
            <a:chOff x="19968496" y="11777094"/>
            <a:chExt cx="10141159" cy="510880"/>
          </a:xfrm>
        </xdr:grpSpPr>
        <xdr:sp macro="" textlink="">
          <xdr:nvSpPr>
            <xdr:cNvPr id="78" name="Textfeld 32">
              <a:extLst>
                <a:ext uri="{FF2B5EF4-FFF2-40B4-BE49-F238E27FC236}">
                  <a16:creationId xmlns:a16="http://schemas.microsoft.com/office/drawing/2014/main" id="{00000000-0008-0000-0200-00004E000000}"/>
                </a:ext>
              </a:extLst>
            </xdr:cNvPr>
            <xdr:cNvSpPr txBox="1"/>
          </xdr:nvSpPr>
          <xdr:spPr>
            <a:xfrm>
              <a:off x="19968496" y="11777340"/>
              <a:ext cx="1460558" cy="506297"/>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800" b="1">
                  <a:solidFill>
                    <a:schemeClr val="tx1">
                      <a:lumMod val="65000"/>
                      <a:lumOff val="35000"/>
                    </a:schemeClr>
                  </a:solidFill>
                </a:rPr>
                <a:t>Pre-Commercial</a:t>
              </a:r>
            </a:p>
            <a:p>
              <a:pPr algn="ctr"/>
              <a:r>
                <a:rPr lang="en-GB" sz="900" b="1">
                  <a:solidFill>
                    <a:schemeClr val="tx1">
                      <a:lumMod val="65000"/>
                      <a:lumOff val="35000"/>
                    </a:schemeClr>
                  </a:solidFill>
                </a:rPr>
                <a:t>Phase 0 </a:t>
              </a:r>
            </a:p>
          </xdr:txBody>
        </xdr:sp>
        <xdr:sp macro="" textlink="">
          <xdr:nvSpPr>
            <xdr:cNvPr id="79" name="Textfeld 32">
              <a:extLst>
                <a:ext uri="{FF2B5EF4-FFF2-40B4-BE49-F238E27FC236}">
                  <a16:creationId xmlns:a16="http://schemas.microsoft.com/office/drawing/2014/main" id="{00000000-0008-0000-0200-00004F000000}"/>
                </a:ext>
              </a:extLst>
            </xdr:cNvPr>
            <xdr:cNvSpPr txBox="1"/>
          </xdr:nvSpPr>
          <xdr:spPr>
            <a:xfrm>
              <a:off x="21427433" y="11777094"/>
              <a:ext cx="2138583" cy="506296"/>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900" b="1">
                  <a:solidFill>
                    <a:schemeClr val="tx1">
                      <a:lumMod val="65000"/>
                      <a:lumOff val="35000"/>
                    </a:schemeClr>
                  </a:solidFill>
                </a:rPr>
                <a:t>Pioneering</a:t>
              </a:r>
            </a:p>
            <a:p>
              <a:pPr algn="ctr"/>
              <a:r>
                <a:rPr lang="en-GB" sz="900" b="1">
                  <a:solidFill>
                    <a:schemeClr val="tx1">
                      <a:lumMod val="65000"/>
                      <a:lumOff val="35000"/>
                    </a:schemeClr>
                  </a:solidFill>
                </a:rPr>
                <a:t>Phase I</a:t>
              </a:r>
            </a:p>
          </xdr:txBody>
        </xdr:sp>
        <xdr:sp macro="" textlink="">
          <xdr:nvSpPr>
            <xdr:cNvPr id="80" name="Textfeld 32">
              <a:extLst>
                <a:ext uri="{FF2B5EF4-FFF2-40B4-BE49-F238E27FC236}">
                  <a16:creationId xmlns:a16="http://schemas.microsoft.com/office/drawing/2014/main" id="{00000000-0008-0000-0200-000050000000}"/>
                </a:ext>
              </a:extLst>
            </xdr:cNvPr>
            <xdr:cNvSpPr txBox="1"/>
          </xdr:nvSpPr>
          <xdr:spPr>
            <a:xfrm>
              <a:off x="23534235" y="11778928"/>
              <a:ext cx="2222336" cy="506296"/>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900" b="1">
                  <a:solidFill>
                    <a:schemeClr val="tx1">
                      <a:lumMod val="65000"/>
                      <a:lumOff val="35000"/>
                    </a:schemeClr>
                  </a:solidFill>
                </a:rPr>
                <a:t>Expansion</a:t>
              </a:r>
              <a:endParaRPr lang="en-GB" sz="900" b="1">
                <a:solidFill>
                  <a:schemeClr val="tx1">
                    <a:lumMod val="65000"/>
                    <a:lumOff val="35000"/>
                  </a:schemeClr>
                </a:solidFill>
              </a:endParaRPr>
            </a:p>
            <a:p>
              <a:pPr algn="ctr"/>
              <a:r>
                <a:rPr lang="en-GB" sz="900" b="1">
                  <a:solidFill>
                    <a:schemeClr val="tx1">
                      <a:lumMod val="65000"/>
                      <a:lumOff val="35000"/>
                    </a:schemeClr>
                  </a:solidFill>
                </a:rPr>
                <a:t>Phase II</a:t>
              </a:r>
            </a:p>
          </xdr:txBody>
        </xdr:sp>
        <xdr:sp macro="" textlink="">
          <xdr:nvSpPr>
            <xdr:cNvPr id="81" name="Textfeld 32">
              <a:extLst>
                <a:ext uri="{FF2B5EF4-FFF2-40B4-BE49-F238E27FC236}">
                  <a16:creationId xmlns:a16="http://schemas.microsoft.com/office/drawing/2014/main" id="{00000000-0008-0000-0200-000051000000}"/>
                </a:ext>
              </a:extLst>
            </xdr:cNvPr>
            <xdr:cNvSpPr txBox="1"/>
          </xdr:nvSpPr>
          <xdr:spPr>
            <a:xfrm>
              <a:off x="25738754" y="11777291"/>
              <a:ext cx="2065751" cy="510683"/>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900" b="1">
                  <a:solidFill>
                    <a:schemeClr val="tx1">
                      <a:lumMod val="65000"/>
                      <a:lumOff val="35000"/>
                    </a:schemeClr>
                  </a:solidFill>
                </a:rPr>
                <a:t>Maturity</a:t>
              </a:r>
              <a:endParaRPr lang="en-GB" sz="900" b="1">
                <a:solidFill>
                  <a:schemeClr val="tx1">
                    <a:lumMod val="65000"/>
                    <a:lumOff val="35000"/>
                  </a:schemeClr>
                </a:solidFill>
              </a:endParaRPr>
            </a:p>
            <a:p>
              <a:pPr algn="ctr"/>
              <a:r>
                <a:rPr lang="en-GB" sz="900" b="1">
                  <a:solidFill>
                    <a:schemeClr val="tx1">
                      <a:lumMod val="65000"/>
                      <a:lumOff val="35000"/>
                    </a:schemeClr>
                  </a:solidFill>
                </a:rPr>
                <a:t>Phase III</a:t>
              </a:r>
            </a:p>
          </xdr:txBody>
        </xdr:sp>
        <xdr:sp macro="" textlink="">
          <xdr:nvSpPr>
            <xdr:cNvPr id="82" name="Textfeld 32">
              <a:extLst>
                <a:ext uri="{FF2B5EF4-FFF2-40B4-BE49-F238E27FC236}">
                  <a16:creationId xmlns:a16="http://schemas.microsoft.com/office/drawing/2014/main" id="{00000000-0008-0000-0200-000052000000}"/>
                </a:ext>
              </a:extLst>
            </xdr:cNvPr>
            <xdr:cNvSpPr txBox="1"/>
          </xdr:nvSpPr>
          <xdr:spPr>
            <a:xfrm>
              <a:off x="27802564" y="11779529"/>
              <a:ext cx="1047067" cy="506296"/>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800" b="1">
                  <a:solidFill>
                    <a:schemeClr val="tx1">
                      <a:lumMod val="65000"/>
                      <a:lumOff val="35000"/>
                    </a:schemeClr>
                  </a:solidFill>
                </a:rPr>
                <a:t>Saturation</a:t>
              </a:r>
            </a:p>
            <a:p>
              <a:pPr algn="ctr"/>
              <a:r>
                <a:rPr lang="en-US" sz="900" b="1">
                  <a:solidFill>
                    <a:schemeClr val="tx1">
                      <a:lumMod val="65000"/>
                      <a:lumOff val="35000"/>
                    </a:schemeClr>
                  </a:solidFill>
                </a:rPr>
                <a:t>Phase IV</a:t>
              </a:r>
              <a:endParaRPr lang="en-GB" sz="900" b="1">
                <a:solidFill>
                  <a:schemeClr val="tx1">
                    <a:lumMod val="65000"/>
                    <a:lumOff val="35000"/>
                  </a:schemeClr>
                </a:solidFill>
              </a:endParaRPr>
            </a:p>
          </xdr:txBody>
        </xdr:sp>
        <xdr:sp macro="" textlink="">
          <xdr:nvSpPr>
            <xdr:cNvPr id="104" name="Textfeld 32">
              <a:extLst>
                <a:ext uri="{FF2B5EF4-FFF2-40B4-BE49-F238E27FC236}">
                  <a16:creationId xmlns:a16="http://schemas.microsoft.com/office/drawing/2014/main" id="{00000000-0008-0000-0200-000068000000}"/>
                </a:ext>
              </a:extLst>
            </xdr:cNvPr>
            <xdr:cNvSpPr txBox="1"/>
          </xdr:nvSpPr>
          <xdr:spPr>
            <a:xfrm>
              <a:off x="28824652" y="11779432"/>
              <a:ext cx="1285003" cy="506297"/>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800" b="1">
                  <a:solidFill>
                    <a:schemeClr val="tx1">
                      <a:lumMod val="65000"/>
                      <a:lumOff val="35000"/>
                    </a:schemeClr>
                  </a:solidFill>
                </a:rPr>
                <a:t>Degeneration</a:t>
              </a:r>
            </a:p>
            <a:p>
              <a:pPr algn="ctr"/>
              <a:r>
                <a:rPr lang="en-US" sz="900" b="1">
                  <a:solidFill>
                    <a:schemeClr val="tx1">
                      <a:lumMod val="65000"/>
                      <a:lumOff val="35000"/>
                    </a:schemeClr>
                  </a:solidFill>
                </a:rPr>
                <a:t>Phase V</a:t>
              </a:r>
              <a:endParaRPr lang="en-GB" sz="900" b="1">
                <a:solidFill>
                  <a:schemeClr val="tx1">
                    <a:lumMod val="65000"/>
                    <a:lumOff val="35000"/>
                  </a:schemeClr>
                </a:solidFill>
              </a:endParaRPr>
            </a:p>
          </xdr:txBody>
        </xdr:sp>
      </xdr:grpSp>
    </xdr:grpSp>
    <xdr:clientData/>
  </xdr:twoCellAnchor>
  <xdr:twoCellAnchor>
    <xdr:from>
      <xdr:col>18</xdr:col>
      <xdr:colOff>70122</xdr:colOff>
      <xdr:row>52</xdr:row>
      <xdr:rowOff>44824</xdr:rowOff>
    </xdr:from>
    <xdr:to>
      <xdr:col>34</xdr:col>
      <xdr:colOff>25468</xdr:colOff>
      <xdr:row>73</xdr:row>
      <xdr:rowOff>67236</xdr:rowOff>
    </xdr:to>
    <xdr:grpSp>
      <xdr:nvGrpSpPr>
        <xdr:cNvPr id="105" name="Group 104">
          <a:extLst>
            <a:ext uri="{FF2B5EF4-FFF2-40B4-BE49-F238E27FC236}">
              <a16:creationId xmlns:a16="http://schemas.microsoft.com/office/drawing/2014/main" id="{00000000-0008-0000-0200-000069000000}"/>
            </a:ext>
          </a:extLst>
        </xdr:cNvPr>
        <xdr:cNvGrpSpPr/>
      </xdr:nvGrpSpPr>
      <xdr:grpSpPr>
        <a:xfrm>
          <a:off x="22764750" y="25190824"/>
          <a:ext cx="0" cy="10842812"/>
          <a:chOff x="71609053" y="5907833"/>
          <a:chExt cx="10821631" cy="8564216"/>
        </a:xfrm>
      </xdr:grpSpPr>
      <xdr:graphicFrame macro="">
        <xdr:nvGraphicFramePr>
          <xdr:cNvPr id="129" name="Chart 128">
            <a:extLst>
              <a:ext uri="{FF2B5EF4-FFF2-40B4-BE49-F238E27FC236}">
                <a16:creationId xmlns:a16="http://schemas.microsoft.com/office/drawing/2014/main" id="{00000000-0008-0000-0200-000081000000}"/>
              </a:ext>
            </a:extLst>
          </xdr:cNvPr>
          <xdr:cNvGraphicFramePr>
            <a:graphicFrameLocks noChangeAspect="1"/>
          </xdr:cNvGraphicFramePr>
        </xdr:nvGraphicFramePr>
        <xdr:xfrm>
          <a:off x="71609053" y="5907833"/>
          <a:ext cx="10821631" cy="8564216"/>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130" name="Group 129">
            <a:extLst>
              <a:ext uri="{FF2B5EF4-FFF2-40B4-BE49-F238E27FC236}">
                <a16:creationId xmlns:a16="http://schemas.microsoft.com/office/drawing/2014/main" id="{00000000-0008-0000-0200-000082000000}"/>
              </a:ext>
            </a:extLst>
          </xdr:cNvPr>
          <xdr:cNvGrpSpPr/>
        </xdr:nvGrpSpPr>
        <xdr:grpSpPr>
          <a:xfrm>
            <a:off x="72975542" y="12969834"/>
            <a:ext cx="9310587" cy="555823"/>
            <a:chOff x="19639440" y="11661205"/>
            <a:chExt cx="10470188" cy="511785"/>
          </a:xfrm>
        </xdr:grpSpPr>
        <xdr:sp macro="" textlink="">
          <xdr:nvSpPr>
            <xdr:cNvPr id="131" name="Textfeld 32">
              <a:extLst>
                <a:ext uri="{FF2B5EF4-FFF2-40B4-BE49-F238E27FC236}">
                  <a16:creationId xmlns:a16="http://schemas.microsoft.com/office/drawing/2014/main" id="{00000000-0008-0000-0200-000083000000}"/>
                </a:ext>
              </a:extLst>
            </xdr:cNvPr>
            <xdr:cNvSpPr txBox="1"/>
          </xdr:nvSpPr>
          <xdr:spPr>
            <a:xfrm>
              <a:off x="19639440" y="11661205"/>
              <a:ext cx="1578686" cy="511782"/>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800" b="1">
                  <a:solidFill>
                    <a:schemeClr val="tx1">
                      <a:lumMod val="65000"/>
                      <a:lumOff val="35000"/>
                    </a:schemeClr>
                  </a:solidFill>
                </a:rPr>
                <a:t>Pre-Commercial</a:t>
              </a:r>
            </a:p>
            <a:p>
              <a:pPr algn="ctr"/>
              <a:r>
                <a:rPr lang="en-GB" sz="900" b="1">
                  <a:solidFill>
                    <a:schemeClr val="tx1">
                      <a:lumMod val="65000"/>
                      <a:lumOff val="35000"/>
                    </a:schemeClr>
                  </a:solidFill>
                </a:rPr>
                <a:t>Phase 0 </a:t>
              </a:r>
            </a:p>
          </xdr:txBody>
        </xdr:sp>
        <xdr:sp macro="" textlink="">
          <xdr:nvSpPr>
            <xdr:cNvPr id="132" name="Textfeld 32">
              <a:extLst>
                <a:ext uri="{FF2B5EF4-FFF2-40B4-BE49-F238E27FC236}">
                  <a16:creationId xmlns:a16="http://schemas.microsoft.com/office/drawing/2014/main" id="{00000000-0008-0000-0200-000084000000}"/>
                </a:ext>
              </a:extLst>
            </xdr:cNvPr>
            <xdr:cNvSpPr txBox="1"/>
          </xdr:nvSpPr>
          <xdr:spPr>
            <a:xfrm>
              <a:off x="21213651" y="11664140"/>
              <a:ext cx="2138584" cy="506295"/>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900" b="1">
                  <a:solidFill>
                    <a:schemeClr val="tx1">
                      <a:lumMod val="65000"/>
                      <a:lumOff val="35000"/>
                    </a:schemeClr>
                  </a:solidFill>
                </a:rPr>
                <a:t>Pioneering</a:t>
              </a:r>
            </a:p>
            <a:p>
              <a:pPr algn="ctr"/>
              <a:r>
                <a:rPr lang="en-GB" sz="900" b="1">
                  <a:solidFill>
                    <a:schemeClr val="tx1">
                      <a:lumMod val="65000"/>
                      <a:lumOff val="35000"/>
                    </a:schemeClr>
                  </a:solidFill>
                </a:rPr>
                <a:t>Phase I</a:t>
              </a:r>
            </a:p>
          </xdr:txBody>
        </xdr:sp>
        <xdr:sp macro="" textlink="">
          <xdr:nvSpPr>
            <xdr:cNvPr id="133" name="Textfeld 32">
              <a:extLst>
                <a:ext uri="{FF2B5EF4-FFF2-40B4-BE49-F238E27FC236}">
                  <a16:creationId xmlns:a16="http://schemas.microsoft.com/office/drawing/2014/main" id="{00000000-0008-0000-0200-000085000000}"/>
                </a:ext>
              </a:extLst>
            </xdr:cNvPr>
            <xdr:cNvSpPr txBox="1"/>
          </xdr:nvSpPr>
          <xdr:spPr>
            <a:xfrm>
              <a:off x="23348956" y="11663281"/>
              <a:ext cx="2222337" cy="506296"/>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900" b="1">
                  <a:solidFill>
                    <a:schemeClr val="tx1">
                      <a:lumMod val="65000"/>
                      <a:lumOff val="35000"/>
                    </a:schemeClr>
                  </a:solidFill>
                </a:rPr>
                <a:t>Expansion</a:t>
              </a:r>
              <a:endParaRPr lang="en-GB" sz="900" b="1">
                <a:solidFill>
                  <a:schemeClr val="tx1">
                    <a:lumMod val="65000"/>
                    <a:lumOff val="35000"/>
                  </a:schemeClr>
                </a:solidFill>
              </a:endParaRPr>
            </a:p>
            <a:p>
              <a:pPr algn="ctr"/>
              <a:r>
                <a:rPr lang="en-GB" sz="900" b="1">
                  <a:solidFill>
                    <a:schemeClr val="tx1">
                      <a:lumMod val="65000"/>
                      <a:lumOff val="35000"/>
                    </a:schemeClr>
                  </a:solidFill>
                </a:rPr>
                <a:t>Phase II</a:t>
              </a:r>
            </a:p>
          </xdr:txBody>
        </xdr:sp>
        <xdr:sp macro="" textlink="">
          <xdr:nvSpPr>
            <xdr:cNvPr id="134" name="Textfeld 32">
              <a:extLst>
                <a:ext uri="{FF2B5EF4-FFF2-40B4-BE49-F238E27FC236}">
                  <a16:creationId xmlns:a16="http://schemas.microsoft.com/office/drawing/2014/main" id="{00000000-0008-0000-0200-000086000000}"/>
                </a:ext>
              </a:extLst>
            </xdr:cNvPr>
            <xdr:cNvSpPr txBox="1"/>
          </xdr:nvSpPr>
          <xdr:spPr>
            <a:xfrm>
              <a:off x="25567727" y="11664139"/>
              <a:ext cx="2065751" cy="506296"/>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900" b="1">
                  <a:solidFill>
                    <a:schemeClr val="tx1">
                      <a:lumMod val="65000"/>
                      <a:lumOff val="35000"/>
                    </a:schemeClr>
                  </a:solidFill>
                </a:rPr>
                <a:t>Maturity</a:t>
              </a:r>
              <a:endParaRPr lang="en-GB" sz="900" b="1">
                <a:solidFill>
                  <a:schemeClr val="tx1">
                    <a:lumMod val="65000"/>
                    <a:lumOff val="35000"/>
                  </a:schemeClr>
                </a:solidFill>
              </a:endParaRPr>
            </a:p>
            <a:p>
              <a:pPr algn="ctr"/>
              <a:r>
                <a:rPr lang="en-GB" sz="900" b="1">
                  <a:solidFill>
                    <a:schemeClr val="tx1">
                      <a:lumMod val="65000"/>
                      <a:lumOff val="35000"/>
                    </a:schemeClr>
                  </a:solidFill>
                </a:rPr>
                <a:t>Phase III</a:t>
              </a:r>
            </a:p>
          </xdr:txBody>
        </xdr:sp>
        <xdr:sp macro="" textlink="">
          <xdr:nvSpPr>
            <xdr:cNvPr id="135" name="Textfeld 32">
              <a:extLst>
                <a:ext uri="{FF2B5EF4-FFF2-40B4-BE49-F238E27FC236}">
                  <a16:creationId xmlns:a16="http://schemas.microsoft.com/office/drawing/2014/main" id="{00000000-0008-0000-0200-000087000000}"/>
                </a:ext>
              </a:extLst>
            </xdr:cNvPr>
            <xdr:cNvSpPr txBox="1"/>
          </xdr:nvSpPr>
          <xdr:spPr>
            <a:xfrm>
              <a:off x="27619567" y="11663507"/>
              <a:ext cx="1196064" cy="509483"/>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800" b="1">
                  <a:solidFill>
                    <a:schemeClr val="tx1">
                      <a:lumMod val="65000"/>
                      <a:lumOff val="35000"/>
                    </a:schemeClr>
                  </a:solidFill>
                </a:rPr>
                <a:t>Saturation</a:t>
              </a:r>
            </a:p>
            <a:p>
              <a:pPr algn="ctr"/>
              <a:r>
                <a:rPr lang="en-US" sz="900" b="1">
                  <a:solidFill>
                    <a:schemeClr val="tx1">
                      <a:lumMod val="65000"/>
                      <a:lumOff val="35000"/>
                    </a:schemeClr>
                  </a:solidFill>
                </a:rPr>
                <a:t>Phase IV</a:t>
              </a:r>
              <a:endParaRPr lang="en-GB" sz="900" b="1">
                <a:solidFill>
                  <a:schemeClr val="tx1">
                    <a:lumMod val="65000"/>
                    <a:lumOff val="35000"/>
                  </a:schemeClr>
                </a:solidFill>
              </a:endParaRPr>
            </a:p>
          </xdr:txBody>
        </xdr:sp>
        <xdr:sp macro="" textlink="">
          <xdr:nvSpPr>
            <xdr:cNvPr id="136" name="Textfeld 32">
              <a:extLst>
                <a:ext uri="{FF2B5EF4-FFF2-40B4-BE49-F238E27FC236}">
                  <a16:creationId xmlns:a16="http://schemas.microsoft.com/office/drawing/2014/main" id="{00000000-0008-0000-0200-000088000000}"/>
                </a:ext>
              </a:extLst>
            </xdr:cNvPr>
            <xdr:cNvSpPr txBox="1"/>
          </xdr:nvSpPr>
          <xdr:spPr>
            <a:xfrm>
              <a:off x="28808939" y="11663504"/>
              <a:ext cx="1300689" cy="509473"/>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800" b="1">
                  <a:solidFill>
                    <a:schemeClr val="tx1">
                      <a:lumMod val="65000"/>
                      <a:lumOff val="35000"/>
                    </a:schemeClr>
                  </a:solidFill>
                </a:rPr>
                <a:t>Degeneration</a:t>
              </a:r>
            </a:p>
            <a:p>
              <a:pPr algn="ctr"/>
              <a:r>
                <a:rPr lang="en-US" sz="900" b="1">
                  <a:solidFill>
                    <a:schemeClr val="tx1">
                      <a:lumMod val="65000"/>
                      <a:lumOff val="35000"/>
                    </a:schemeClr>
                  </a:solidFill>
                </a:rPr>
                <a:t>Phase V</a:t>
              </a:r>
              <a:endParaRPr lang="en-GB" sz="900" b="1">
                <a:solidFill>
                  <a:schemeClr val="tx1">
                    <a:lumMod val="65000"/>
                    <a:lumOff val="35000"/>
                  </a:schemeClr>
                </a:solidFill>
              </a:endParaRPr>
            </a:p>
          </xdr:txBody>
        </xdr:sp>
      </xdr:grpSp>
    </xdr:grpSp>
    <xdr:clientData/>
  </xdr:twoCellAnchor>
  <mc:AlternateContent xmlns:mc="http://schemas.openxmlformats.org/markup-compatibility/2006">
    <mc:Choice xmlns:a14="http://schemas.microsoft.com/office/drawing/2010/main" Requires="a14">
      <xdr:twoCellAnchor editAs="oneCell">
        <xdr:from>
          <xdr:col>7</xdr:col>
          <xdr:colOff>14820737</xdr:colOff>
          <xdr:row>5</xdr:row>
          <xdr:rowOff>19050</xdr:rowOff>
        </xdr:from>
        <xdr:to>
          <xdr:col>7</xdr:col>
          <xdr:colOff>16825546</xdr:colOff>
          <xdr:row>9</xdr:row>
          <xdr:rowOff>144514</xdr:rowOff>
        </xdr:to>
        <xdr:pic>
          <xdr:nvPicPr>
            <xdr:cNvPr id="71" name="Picture 12">
              <a:extLst>
                <a:ext uri="{FF2B5EF4-FFF2-40B4-BE49-F238E27FC236}">
                  <a16:creationId xmlns:a16="http://schemas.microsoft.com/office/drawing/2014/main" id="{00000000-0008-0000-0200-000047000000}"/>
                </a:ext>
              </a:extLst>
            </xdr:cNvPr>
            <xdr:cNvPicPr>
              <a:picLocks noChangeAspect="1" noChangeArrowheads="1"/>
              <a:extLst>
                <a:ext uri="{84589F7E-364E-4C9E-8A38-B11213B215E9}">
                  <a14:cameraTool cellRange="TechnologyLookup" spid="_x0000_s213071"/>
                </a:ext>
              </a:extLst>
            </xdr:cNvPicPr>
          </xdr:nvPicPr>
          <xdr:blipFill rotWithShape="1">
            <a:blip xmlns:r="http://schemas.openxmlformats.org/officeDocument/2006/relationships" r:embed="rId2"/>
            <a:srcRect l="14188" r="16123"/>
            <a:stretch>
              <a:fillRect/>
            </a:stretch>
          </xdr:blipFill>
          <xdr:spPr bwMode="auto">
            <a:xfrm>
              <a:off x="20650037" y="6286500"/>
              <a:ext cx="2004809" cy="142086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0</xdr:colOff>
      <xdr:row>1</xdr:row>
      <xdr:rowOff>76404</xdr:rowOff>
    </xdr:from>
    <xdr:to>
      <xdr:col>3</xdr:col>
      <xdr:colOff>1206942</xdr:colOff>
      <xdr:row>2</xdr:row>
      <xdr:rowOff>624564</xdr:rowOff>
    </xdr:to>
    <xdr:pic>
      <xdr:nvPicPr>
        <xdr:cNvPr id="86" name="Grafik 85" hidden="1">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192499" y="76404"/>
          <a:ext cx="1704483" cy="7866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14998213</xdr:colOff>
          <xdr:row>11</xdr:row>
          <xdr:rowOff>248190</xdr:rowOff>
        </xdr:from>
        <xdr:to>
          <xdr:col>7</xdr:col>
          <xdr:colOff>16682427</xdr:colOff>
          <xdr:row>16</xdr:row>
          <xdr:rowOff>39565</xdr:rowOff>
        </xdr:to>
        <xdr:pic>
          <xdr:nvPicPr>
            <xdr:cNvPr id="92" name="Picture 12">
              <a:extLst>
                <a:ext uri="{FF2B5EF4-FFF2-40B4-BE49-F238E27FC236}">
                  <a16:creationId xmlns:a16="http://schemas.microsoft.com/office/drawing/2014/main" id="{00000000-0008-0000-0200-00005C000000}"/>
                </a:ext>
              </a:extLst>
            </xdr:cNvPr>
            <xdr:cNvPicPr>
              <a:picLocks noChangeAspect="1" noChangeArrowheads="1"/>
              <a:extLst>
                <a:ext uri="{84589F7E-364E-4C9E-8A38-B11213B215E9}">
                  <a14:cameraTool cellRange="Year" spid="_x0000_s213072"/>
                </a:ext>
              </a:extLst>
            </xdr:cNvPicPr>
          </xdr:nvPicPr>
          <xdr:blipFill rotWithShape="1">
            <a:blip xmlns:r="http://schemas.openxmlformats.org/officeDocument/2006/relationships" r:embed="rId9"/>
            <a:srcRect l="-1" r="5538"/>
            <a:stretch>
              <a:fillRect/>
            </a:stretch>
          </xdr:blipFill>
          <xdr:spPr bwMode="auto">
            <a:xfrm>
              <a:off x="20827513" y="5944140"/>
              <a:ext cx="1684214" cy="11629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xdr:col>
      <xdr:colOff>20813</xdr:colOff>
      <xdr:row>12</xdr:row>
      <xdr:rowOff>179294</xdr:rowOff>
    </xdr:from>
    <xdr:to>
      <xdr:col>3</xdr:col>
      <xdr:colOff>1599241</xdr:colOff>
      <xdr:row>25</xdr:row>
      <xdr:rowOff>314881</xdr:rowOff>
    </xdr:to>
    <xdr:pic>
      <xdr:nvPicPr>
        <xdr:cNvPr id="3" name="Grafik 82">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82863" y="6199094"/>
          <a:ext cx="1578428" cy="343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266700</xdr:colOff>
      <xdr:row>3</xdr:row>
      <xdr:rowOff>155575</xdr:rowOff>
    </xdr:from>
    <xdr:to>
      <xdr:col>47</xdr:col>
      <xdr:colOff>360701</xdr:colOff>
      <xdr:row>26</xdr:row>
      <xdr:rowOff>171450</xdr:rowOff>
    </xdr:to>
    <xdr:grpSp>
      <xdr:nvGrpSpPr>
        <xdr:cNvPr id="90" name="Gruppieren 89">
          <a:extLst>
            <a:ext uri="{FF2B5EF4-FFF2-40B4-BE49-F238E27FC236}">
              <a16:creationId xmlns:a16="http://schemas.microsoft.com/office/drawing/2014/main" id="{00000000-0008-0000-0200-00005A000000}"/>
            </a:ext>
          </a:extLst>
        </xdr:cNvPr>
        <xdr:cNvGrpSpPr/>
      </xdr:nvGrpSpPr>
      <xdr:grpSpPr>
        <a:xfrm>
          <a:off x="22983825" y="1473200"/>
          <a:ext cx="10730251" cy="8255000"/>
          <a:chOff x="20711978" y="2904343"/>
          <a:chExt cx="10797745" cy="8416353"/>
        </a:xfrm>
      </xdr:grpSpPr>
      <xdr:sp macro="" textlink="">
        <xdr:nvSpPr>
          <xdr:cNvPr id="91" name="Rechteck 90">
            <a:extLst>
              <a:ext uri="{FF2B5EF4-FFF2-40B4-BE49-F238E27FC236}">
                <a16:creationId xmlns:a16="http://schemas.microsoft.com/office/drawing/2014/main" id="{00000000-0008-0000-0200-00005B000000}"/>
              </a:ext>
            </a:extLst>
          </xdr:cNvPr>
          <xdr:cNvSpPr/>
        </xdr:nvSpPr>
        <xdr:spPr>
          <a:xfrm>
            <a:off x="20711978" y="2904343"/>
            <a:ext cx="10797745" cy="841635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93" name="Gruppieren 92">
            <a:extLst>
              <a:ext uri="{FF2B5EF4-FFF2-40B4-BE49-F238E27FC236}">
                <a16:creationId xmlns:a16="http://schemas.microsoft.com/office/drawing/2014/main" id="{00000000-0008-0000-0200-00005D000000}"/>
              </a:ext>
            </a:extLst>
          </xdr:cNvPr>
          <xdr:cNvGrpSpPr/>
        </xdr:nvGrpSpPr>
        <xdr:grpSpPr>
          <a:xfrm>
            <a:off x="23207805" y="4280057"/>
            <a:ext cx="5806090" cy="5649066"/>
            <a:chOff x="24439689" y="4044221"/>
            <a:chExt cx="5806090" cy="5649066"/>
          </a:xfrm>
        </xdr:grpSpPr>
        <xdr:sp macro="" textlink="">
          <xdr:nvSpPr>
            <xdr:cNvPr id="94" name="Ellipse 93">
              <a:extLst>
                <a:ext uri="{FF2B5EF4-FFF2-40B4-BE49-F238E27FC236}">
                  <a16:creationId xmlns:a16="http://schemas.microsoft.com/office/drawing/2014/main" id="{00000000-0008-0000-0200-00005E000000}"/>
                </a:ext>
              </a:extLst>
            </xdr:cNvPr>
            <xdr:cNvSpPr/>
          </xdr:nvSpPr>
          <xdr:spPr>
            <a:xfrm>
              <a:off x="24439689" y="4044221"/>
              <a:ext cx="5806090" cy="5649066"/>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5" name="Ellipse 94">
              <a:extLst>
                <a:ext uri="{FF2B5EF4-FFF2-40B4-BE49-F238E27FC236}">
                  <a16:creationId xmlns:a16="http://schemas.microsoft.com/office/drawing/2014/main" id="{00000000-0008-0000-0200-00005F000000}"/>
                </a:ext>
              </a:extLst>
            </xdr:cNvPr>
            <xdr:cNvSpPr/>
          </xdr:nvSpPr>
          <xdr:spPr>
            <a:xfrm>
              <a:off x="25173584" y="4757051"/>
              <a:ext cx="4338302" cy="4223408"/>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6" name="Ellipse 95">
              <a:extLst>
                <a:ext uri="{FF2B5EF4-FFF2-40B4-BE49-F238E27FC236}">
                  <a16:creationId xmlns:a16="http://schemas.microsoft.com/office/drawing/2014/main" id="{00000000-0008-0000-0200-000060000000}"/>
                </a:ext>
              </a:extLst>
            </xdr:cNvPr>
            <xdr:cNvSpPr/>
          </xdr:nvSpPr>
          <xdr:spPr>
            <a:xfrm>
              <a:off x="25937290" y="5456527"/>
              <a:ext cx="2810888" cy="2824455"/>
            </a:xfrm>
            <a:prstGeom prst="ellips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7" name="Ellipse 96">
              <a:extLst>
                <a:ext uri="{FF2B5EF4-FFF2-40B4-BE49-F238E27FC236}">
                  <a16:creationId xmlns:a16="http://schemas.microsoft.com/office/drawing/2014/main" id="{00000000-0008-0000-0200-000061000000}"/>
                </a:ext>
              </a:extLst>
            </xdr:cNvPr>
            <xdr:cNvSpPr/>
          </xdr:nvSpPr>
          <xdr:spPr>
            <a:xfrm>
              <a:off x="26683897" y="6206801"/>
              <a:ext cx="1317674" cy="1323906"/>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grpSp>
    <xdr:clientData/>
  </xdr:twoCellAnchor>
  <xdr:twoCellAnchor>
    <xdr:from>
      <xdr:col>36</xdr:col>
      <xdr:colOff>109304</xdr:colOff>
      <xdr:row>3</xdr:row>
      <xdr:rowOff>187377</xdr:rowOff>
    </xdr:from>
    <xdr:to>
      <xdr:col>47</xdr:col>
      <xdr:colOff>497174</xdr:colOff>
      <xdr:row>26</xdr:row>
      <xdr:rowOff>167391</xdr:rowOff>
    </xdr:to>
    <xdr:graphicFrame macro="">
      <xdr:nvGraphicFramePr>
        <xdr:cNvPr id="140" name="Diagramm 139">
          <a:extLst>
            <a:ext uri="{FF2B5EF4-FFF2-40B4-BE49-F238E27FC236}">
              <a16:creationId xmlns:a16="http://schemas.microsoft.com/office/drawing/2014/main" id="{00000000-0008-0000-02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36</xdr:col>
      <xdr:colOff>437214</xdr:colOff>
      <xdr:row>25</xdr:row>
      <xdr:rowOff>6064</xdr:rowOff>
    </xdr:from>
    <xdr:to>
      <xdr:col>40</xdr:col>
      <xdr:colOff>208602</xdr:colOff>
      <xdr:row>25</xdr:row>
      <xdr:rowOff>270624</xdr:rowOff>
    </xdr:to>
    <xdr:grpSp>
      <xdr:nvGrpSpPr>
        <xdr:cNvPr id="141" name="Gruppieren 140">
          <a:extLst>
            <a:ext uri="{FF2B5EF4-FFF2-40B4-BE49-F238E27FC236}">
              <a16:creationId xmlns:a16="http://schemas.microsoft.com/office/drawing/2014/main" id="{00000000-0008-0000-0200-00008D000000}"/>
            </a:ext>
          </a:extLst>
        </xdr:cNvPr>
        <xdr:cNvGrpSpPr/>
      </xdr:nvGrpSpPr>
      <xdr:grpSpPr>
        <a:xfrm>
          <a:off x="23154339" y="9245314"/>
          <a:ext cx="5073638" cy="264560"/>
          <a:chOff x="21236985" y="10682881"/>
          <a:chExt cx="4824122" cy="264560"/>
        </a:xfrm>
      </xdr:grpSpPr>
      <xdr:grpSp>
        <xdr:nvGrpSpPr>
          <xdr:cNvPr id="142" name="Gruppieren 141">
            <a:extLst>
              <a:ext uri="{FF2B5EF4-FFF2-40B4-BE49-F238E27FC236}">
                <a16:creationId xmlns:a16="http://schemas.microsoft.com/office/drawing/2014/main" id="{00000000-0008-0000-0200-00008E000000}"/>
              </a:ext>
            </a:extLst>
          </xdr:cNvPr>
          <xdr:cNvGrpSpPr/>
        </xdr:nvGrpSpPr>
        <xdr:grpSpPr>
          <a:xfrm>
            <a:off x="21236985" y="10682881"/>
            <a:ext cx="1459951" cy="264560"/>
            <a:chOff x="21236985" y="10682881"/>
            <a:chExt cx="1459951" cy="264560"/>
          </a:xfrm>
        </xdr:grpSpPr>
        <xdr:sp macro="" textlink="">
          <xdr:nvSpPr>
            <xdr:cNvPr id="161" name="Rechteck 160">
              <a:extLst>
                <a:ext uri="{FF2B5EF4-FFF2-40B4-BE49-F238E27FC236}">
                  <a16:creationId xmlns:a16="http://schemas.microsoft.com/office/drawing/2014/main" id="{00000000-0008-0000-0200-0000A1000000}"/>
                </a:ext>
              </a:extLst>
            </xdr:cNvPr>
            <xdr:cNvSpPr/>
          </xdr:nvSpPr>
          <xdr:spPr>
            <a:xfrm>
              <a:off x="21236985" y="10721473"/>
              <a:ext cx="371631" cy="187377"/>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62" name="Textfeld 161">
              <a:extLst>
                <a:ext uri="{FF2B5EF4-FFF2-40B4-BE49-F238E27FC236}">
                  <a16:creationId xmlns:a16="http://schemas.microsoft.com/office/drawing/2014/main" id="{00000000-0008-0000-0200-0000A2000000}"/>
                </a:ext>
              </a:extLst>
            </xdr:cNvPr>
            <xdr:cNvSpPr txBox="1"/>
          </xdr:nvSpPr>
          <xdr:spPr>
            <a:xfrm>
              <a:off x="21590479" y="10682881"/>
              <a:ext cx="110645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Pre-Commercial</a:t>
              </a:r>
            </a:p>
          </xdr:txBody>
        </xdr:sp>
      </xdr:grpSp>
      <xdr:grpSp>
        <xdr:nvGrpSpPr>
          <xdr:cNvPr id="143" name="Gruppieren 142">
            <a:extLst>
              <a:ext uri="{FF2B5EF4-FFF2-40B4-BE49-F238E27FC236}">
                <a16:creationId xmlns:a16="http://schemas.microsoft.com/office/drawing/2014/main" id="{00000000-0008-0000-0200-00008F000000}"/>
              </a:ext>
            </a:extLst>
          </xdr:cNvPr>
          <xdr:cNvGrpSpPr/>
        </xdr:nvGrpSpPr>
        <xdr:grpSpPr>
          <a:xfrm>
            <a:off x="22713366" y="10682881"/>
            <a:ext cx="1154483" cy="264560"/>
            <a:chOff x="22699789" y="10682881"/>
            <a:chExt cx="1154483" cy="264560"/>
          </a:xfrm>
        </xdr:grpSpPr>
        <xdr:sp macro="" textlink="">
          <xdr:nvSpPr>
            <xdr:cNvPr id="150" name="Rechteck 149">
              <a:extLst>
                <a:ext uri="{FF2B5EF4-FFF2-40B4-BE49-F238E27FC236}">
                  <a16:creationId xmlns:a16="http://schemas.microsoft.com/office/drawing/2014/main" id="{00000000-0008-0000-0200-000096000000}"/>
                </a:ext>
              </a:extLst>
            </xdr:cNvPr>
            <xdr:cNvSpPr/>
          </xdr:nvSpPr>
          <xdr:spPr>
            <a:xfrm>
              <a:off x="22699789" y="10721473"/>
              <a:ext cx="371631" cy="18737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51" name="Textfeld 150">
              <a:extLst>
                <a:ext uri="{FF2B5EF4-FFF2-40B4-BE49-F238E27FC236}">
                  <a16:creationId xmlns:a16="http://schemas.microsoft.com/office/drawing/2014/main" id="{00000000-0008-0000-0200-000097000000}"/>
                </a:ext>
              </a:extLst>
            </xdr:cNvPr>
            <xdr:cNvSpPr txBox="1"/>
          </xdr:nvSpPr>
          <xdr:spPr>
            <a:xfrm>
              <a:off x="23053283" y="10682881"/>
              <a:ext cx="80098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Pioneering</a:t>
              </a:r>
            </a:p>
          </xdr:txBody>
        </xdr:sp>
      </xdr:grpSp>
      <xdr:grpSp>
        <xdr:nvGrpSpPr>
          <xdr:cNvPr id="144" name="Gruppieren 143">
            <a:extLst>
              <a:ext uri="{FF2B5EF4-FFF2-40B4-BE49-F238E27FC236}">
                <a16:creationId xmlns:a16="http://schemas.microsoft.com/office/drawing/2014/main" id="{00000000-0008-0000-0200-000090000000}"/>
              </a:ext>
            </a:extLst>
          </xdr:cNvPr>
          <xdr:cNvGrpSpPr/>
        </xdr:nvGrpSpPr>
        <xdr:grpSpPr>
          <a:xfrm>
            <a:off x="25020694" y="10682881"/>
            <a:ext cx="1040413" cy="264560"/>
            <a:chOff x="25020694" y="10682881"/>
            <a:chExt cx="1040413" cy="264560"/>
          </a:xfrm>
        </xdr:grpSpPr>
        <xdr:sp macro="" textlink="">
          <xdr:nvSpPr>
            <xdr:cNvPr id="148" name="Rechteck 147">
              <a:extLst>
                <a:ext uri="{FF2B5EF4-FFF2-40B4-BE49-F238E27FC236}">
                  <a16:creationId xmlns:a16="http://schemas.microsoft.com/office/drawing/2014/main" id="{00000000-0008-0000-0200-000094000000}"/>
                </a:ext>
              </a:extLst>
            </xdr:cNvPr>
            <xdr:cNvSpPr/>
          </xdr:nvSpPr>
          <xdr:spPr>
            <a:xfrm>
              <a:off x="25020694" y="10721473"/>
              <a:ext cx="371631" cy="187377"/>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49" name="Textfeld 148">
              <a:extLst>
                <a:ext uri="{FF2B5EF4-FFF2-40B4-BE49-F238E27FC236}">
                  <a16:creationId xmlns:a16="http://schemas.microsoft.com/office/drawing/2014/main" id="{00000000-0008-0000-0200-000095000000}"/>
                </a:ext>
              </a:extLst>
            </xdr:cNvPr>
            <xdr:cNvSpPr txBox="1"/>
          </xdr:nvSpPr>
          <xdr:spPr>
            <a:xfrm>
              <a:off x="25374188" y="10682881"/>
              <a:ext cx="6869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Maturity</a:t>
              </a:r>
            </a:p>
          </xdr:txBody>
        </xdr:sp>
      </xdr:grpSp>
      <xdr:grpSp>
        <xdr:nvGrpSpPr>
          <xdr:cNvPr id="145" name="Gruppieren 144">
            <a:extLst>
              <a:ext uri="{FF2B5EF4-FFF2-40B4-BE49-F238E27FC236}">
                <a16:creationId xmlns:a16="http://schemas.microsoft.com/office/drawing/2014/main" id="{00000000-0008-0000-0200-000091000000}"/>
              </a:ext>
            </a:extLst>
          </xdr:cNvPr>
          <xdr:cNvGrpSpPr/>
        </xdr:nvGrpSpPr>
        <xdr:grpSpPr>
          <a:xfrm>
            <a:off x="23884279" y="10682881"/>
            <a:ext cx="1119986" cy="264560"/>
            <a:chOff x="23866488" y="10682881"/>
            <a:chExt cx="1119986" cy="264560"/>
          </a:xfrm>
        </xdr:grpSpPr>
        <xdr:sp macro="" textlink="">
          <xdr:nvSpPr>
            <xdr:cNvPr id="146" name="Rechteck 145">
              <a:extLst>
                <a:ext uri="{FF2B5EF4-FFF2-40B4-BE49-F238E27FC236}">
                  <a16:creationId xmlns:a16="http://schemas.microsoft.com/office/drawing/2014/main" id="{00000000-0008-0000-0200-000092000000}"/>
                </a:ext>
              </a:extLst>
            </xdr:cNvPr>
            <xdr:cNvSpPr/>
          </xdr:nvSpPr>
          <xdr:spPr>
            <a:xfrm>
              <a:off x="23866488" y="10721473"/>
              <a:ext cx="371631" cy="187377"/>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47" name="Textfeld 146">
              <a:extLst>
                <a:ext uri="{FF2B5EF4-FFF2-40B4-BE49-F238E27FC236}">
                  <a16:creationId xmlns:a16="http://schemas.microsoft.com/office/drawing/2014/main" id="{00000000-0008-0000-0200-000093000000}"/>
                </a:ext>
              </a:extLst>
            </xdr:cNvPr>
            <xdr:cNvSpPr txBox="1"/>
          </xdr:nvSpPr>
          <xdr:spPr>
            <a:xfrm>
              <a:off x="24219982" y="10682881"/>
              <a:ext cx="7664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Expansion</a:t>
              </a:r>
            </a:p>
          </xdr:txBody>
        </xdr:sp>
      </xdr:grpSp>
    </xdr:grpSp>
    <xdr:clientData/>
  </xdr:twoCellAnchor>
  <mc:AlternateContent xmlns:mc="http://schemas.openxmlformats.org/markup-compatibility/2006">
    <mc:Choice xmlns:a14="http://schemas.microsoft.com/office/drawing/2010/main" Requires="a14">
      <xdr:twoCellAnchor editAs="oneCell">
        <xdr:from>
          <xdr:col>45</xdr:col>
          <xdr:colOff>527697</xdr:colOff>
          <xdr:row>3</xdr:row>
          <xdr:rowOff>381531</xdr:rowOff>
        </xdr:from>
        <xdr:to>
          <xdr:col>47</xdr:col>
          <xdr:colOff>360100</xdr:colOff>
          <xdr:row>3</xdr:row>
          <xdr:rowOff>1358484</xdr:rowOff>
        </xdr:to>
        <xdr:pic>
          <xdr:nvPicPr>
            <xdr:cNvPr id="165" name="Picture 12">
              <a:extLst>
                <a:ext uri="{FF2B5EF4-FFF2-40B4-BE49-F238E27FC236}">
                  <a16:creationId xmlns:a16="http://schemas.microsoft.com/office/drawing/2014/main" id="{00000000-0008-0000-0200-0000A5000000}"/>
                </a:ext>
              </a:extLst>
            </xdr:cNvPr>
            <xdr:cNvPicPr>
              <a:picLocks noChangeAspect="1" noChangeArrowheads="1"/>
              <a:extLst>
                <a:ext uri="{84589F7E-364E-4C9E-8A38-B11213B215E9}">
                  <a14:cameraTool cellRange="TechnologyLookup" spid="_x0000_s213073"/>
                </a:ext>
              </a:extLst>
            </xdr:cNvPicPr>
          </xdr:nvPicPr>
          <xdr:blipFill rotWithShape="1">
            <a:blip xmlns:r="http://schemas.openxmlformats.org/officeDocument/2006/relationships" r:embed="rId12"/>
            <a:srcRect l="14188" r="16123"/>
            <a:stretch>
              <a:fillRect/>
            </a:stretch>
          </xdr:blipFill>
          <xdr:spPr bwMode="auto">
            <a:xfrm>
              <a:off x="30070812" y="2333375"/>
              <a:ext cx="1362649" cy="97695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246955</xdr:colOff>
          <xdr:row>21</xdr:row>
          <xdr:rowOff>64561</xdr:rowOff>
        </xdr:from>
        <xdr:to>
          <xdr:col>47</xdr:col>
          <xdr:colOff>400923</xdr:colOff>
          <xdr:row>26</xdr:row>
          <xdr:rowOff>39253</xdr:rowOff>
        </xdr:to>
        <xdr:pic>
          <xdr:nvPicPr>
            <xdr:cNvPr id="166" name="Picture 12">
              <a:extLst>
                <a:ext uri="{FF2B5EF4-FFF2-40B4-BE49-F238E27FC236}">
                  <a16:creationId xmlns:a16="http://schemas.microsoft.com/office/drawing/2014/main" id="{00000000-0008-0000-0200-0000A6000000}"/>
                </a:ext>
              </a:extLst>
            </xdr:cNvPr>
            <xdr:cNvPicPr>
              <a:picLocks noChangeAspect="1" noChangeArrowheads="1"/>
              <a:extLst>
                <a:ext uri="{84589F7E-364E-4C9E-8A38-B11213B215E9}">
                  <a14:cameraTool cellRange="Year" spid="_x0000_s213074"/>
                </a:ext>
              </a:extLst>
            </xdr:cNvPicPr>
          </xdr:nvPicPr>
          <xdr:blipFill rotWithShape="1">
            <a:blip xmlns:r="http://schemas.openxmlformats.org/officeDocument/2006/relationships" r:embed="rId9"/>
            <a:srcRect l="-1" r="5538"/>
            <a:stretch>
              <a:fillRect/>
            </a:stretch>
          </xdr:blipFill>
          <xdr:spPr bwMode="auto">
            <a:xfrm>
              <a:off x="29790070" y="9183577"/>
              <a:ext cx="1684214" cy="117702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7</xdr:col>
      <xdr:colOff>14116050</xdr:colOff>
      <xdr:row>4</xdr:row>
      <xdr:rowOff>209550</xdr:rowOff>
    </xdr:from>
    <xdr:to>
      <xdr:col>7</xdr:col>
      <xdr:colOff>16811625</xdr:colOff>
      <xdr:row>11</xdr:row>
      <xdr:rowOff>9525</xdr:rowOff>
    </xdr:to>
    <xdr:sp macro="" textlink="">
      <xdr:nvSpPr>
        <xdr:cNvPr id="153370" name="AutoShape 10010">
          <a:extLst>
            <a:ext uri="{FF2B5EF4-FFF2-40B4-BE49-F238E27FC236}">
              <a16:creationId xmlns:a16="http://schemas.microsoft.com/office/drawing/2014/main" id="{B1EB29A6-96CF-48ED-4822-3A6A1F07767B}"/>
            </a:ext>
          </a:extLst>
        </xdr:cNvPr>
        <xdr:cNvSpPr>
          <a:spLocks noChangeAspect="1" noChangeArrowheads="1"/>
        </xdr:cNvSpPr>
      </xdr:nvSpPr>
      <xdr:spPr bwMode="auto">
        <a:xfrm>
          <a:off x="19945350" y="3790950"/>
          <a:ext cx="2695575" cy="1914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3</xdr:row>
          <xdr:rowOff>114300</xdr:rowOff>
        </xdr:from>
        <xdr:to>
          <xdr:col>3</xdr:col>
          <xdr:colOff>895350</xdr:colOff>
          <xdr:row>3</xdr:row>
          <xdr:rowOff>895350</xdr:rowOff>
        </xdr:to>
        <xdr:pic>
          <xdr:nvPicPr>
            <xdr:cNvPr id="153475" name="Picture 12" hidden="1">
              <a:extLst>
                <a:ext uri="{FF2B5EF4-FFF2-40B4-BE49-F238E27FC236}">
                  <a16:creationId xmlns:a16="http://schemas.microsoft.com/office/drawing/2014/main" id="{E8676FA0-6312-4A44-7570-182848DBBBE4}"/>
                </a:ext>
              </a:extLst>
            </xdr:cNvPr>
            <xdr:cNvPicPr>
              <a:picLocks noChangeAspect="1" noChangeArrowheads="1"/>
              <a:extLst>
                <a:ext uri="{84589F7E-364E-4C9E-8A38-B11213B215E9}">
                  <a14:cameraTool cellRange="TechnologyLookup" spid="_x0000_s213075"/>
                </a:ext>
              </a:extLst>
            </xdr:cNvPicPr>
          </xdr:nvPicPr>
          <xdr:blipFill>
            <a:blip xmlns:r="http://schemas.openxmlformats.org/officeDocument/2006/relationships" r:embed="rId2"/>
            <a:srcRect r="15736"/>
            <a:stretch>
              <a:fillRect/>
            </a:stretch>
          </xdr:blipFill>
          <xdr:spPr bwMode="auto">
            <a:xfrm>
              <a:off x="762000" y="1419225"/>
              <a:ext cx="1371600" cy="781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715202</xdr:colOff>
          <xdr:row>3</xdr:row>
          <xdr:rowOff>380999</xdr:rowOff>
        </xdr:from>
        <xdr:to>
          <xdr:col>47</xdr:col>
          <xdr:colOff>271202</xdr:colOff>
          <xdr:row>3</xdr:row>
          <xdr:rowOff>1460999</xdr:rowOff>
        </xdr:to>
        <xdr:pic>
          <xdr:nvPicPr>
            <xdr:cNvPr id="153476" name="Picture 10116">
              <a:extLst>
                <a:ext uri="{FF2B5EF4-FFF2-40B4-BE49-F238E27FC236}">
                  <a16:creationId xmlns:a16="http://schemas.microsoft.com/office/drawing/2014/main" id="{EEF6A6E5-79B3-D562-983D-6F49C18CDDE2}"/>
                </a:ext>
              </a:extLst>
            </xdr:cNvPr>
            <xdr:cNvPicPr>
              <a:picLocks noChangeAspect="1" noChangeArrowheads="1"/>
              <a:extLst>
                <a:ext uri="{84589F7E-364E-4C9E-8A38-B11213B215E9}">
                  <a14:cameraTool cellRange="TechnologyLookup" spid="_x0000_s213076"/>
                </a:ext>
              </a:extLst>
            </xdr:cNvPicPr>
          </xdr:nvPicPr>
          <xdr:blipFill rotWithShape="1">
            <a:blip xmlns:r="http://schemas.openxmlformats.org/officeDocument/2006/relationships" r:embed="rId13"/>
            <a:srcRect l="23935" r="25869"/>
            <a:stretch>
              <a:fillRect/>
            </a:stretch>
          </xdr:blipFill>
          <xdr:spPr bwMode="auto">
            <a:xfrm>
              <a:off x="33081152" y="1695449"/>
              <a:ext cx="1080000" cy="1080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7</xdr:col>
      <xdr:colOff>14849475</xdr:colOff>
      <xdr:row>12</xdr:row>
      <xdr:rowOff>285750</xdr:rowOff>
    </xdr:from>
    <xdr:to>
      <xdr:col>7</xdr:col>
      <xdr:colOff>16849725</xdr:colOff>
      <xdr:row>18</xdr:row>
      <xdr:rowOff>9525</xdr:rowOff>
    </xdr:to>
    <xdr:sp macro="" textlink="">
      <xdr:nvSpPr>
        <xdr:cNvPr id="202137" name="AutoShape 12697">
          <a:extLst>
            <a:ext uri="{FF2B5EF4-FFF2-40B4-BE49-F238E27FC236}">
              <a16:creationId xmlns:a16="http://schemas.microsoft.com/office/drawing/2014/main" id="{80C90D6A-088D-D1BC-8423-05AD835491ED}"/>
            </a:ext>
          </a:extLst>
        </xdr:cNvPr>
        <xdr:cNvSpPr>
          <a:spLocks noChangeAspect="1" noChangeArrowheads="1"/>
        </xdr:cNvSpPr>
      </xdr:nvSpPr>
      <xdr:spPr bwMode="auto">
        <a:xfrm>
          <a:off x="20650200" y="6286500"/>
          <a:ext cx="2000250" cy="1419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c:userShapes xmlns:c="http://schemas.openxmlformats.org/drawingml/2006/chart">
  <cdr:absSizeAnchor xmlns:cdr="http://schemas.openxmlformats.org/drawingml/2006/chartDrawing">
    <cdr:from>
      <cdr:x>0</cdr:x>
      <cdr:y>0.32188</cdr:y>
    </cdr:from>
    <cdr:ext cx="15621000" cy="2057398"/>
    <cdr:grpSp>
      <cdr:nvGrpSpPr>
        <cdr:cNvPr id="2" name="Gruppieren 1">
          <a:extLst xmlns:a="http://schemas.openxmlformats.org/drawingml/2006/main">
            <a:ext uri="{FF2B5EF4-FFF2-40B4-BE49-F238E27FC236}">
              <a16:creationId xmlns:a16="http://schemas.microsoft.com/office/drawing/2014/main" id="{B91E7815-ED04-A54F-A402-5A7492B6D1E8}"/>
            </a:ext>
          </a:extLst>
        </cdr:cNvPr>
        <cdr:cNvGrpSpPr/>
      </cdr:nvGrpSpPr>
      <cdr:grpSpPr>
        <a:xfrm xmlns:a="http://schemas.openxmlformats.org/drawingml/2006/main">
          <a:off x="0" y="1861622"/>
          <a:ext cx="15621000" cy="2057398"/>
          <a:chOff x="0" y="2070107"/>
          <a:chExt cx="17294106" cy="1748407"/>
        </a:xfrm>
      </cdr:grpSpPr>
      <cdr:cxnSp macro="">
        <cdr:nvCxnSpPr>
          <cdr:cNvPr id="3" name="Straight Connector 2">
            <a:extLst xmlns:a="http://schemas.openxmlformats.org/drawingml/2006/main">
              <a:ext uri="{FF2B5EF4-FFF2-40B4-BE49-F238E27FC236}">
                <a16:creationId xmlns:a16="http://schemas.microsoft.com/office/drawing/2014/main" id="{E553D992-5915-46D5-A815-312ACED91637}"/>
              </a:ext>
            </a:extLst>
          </cdr:cNvPr>
          <cdr:cNvCxnSpPr/>
        </cdr:nvCxnSpPr>
        <cdr:spPr>
          <a:xfrm xmlns:a="http://schemas.openxmlformats.org/drawingml/2006/main">
            <a:off x="0" y="2070107"/>
            <a:ext cx="17294106" cy="22411"/>
          </a:xfrm>
          <a:prstGeom xmlns:a="http://schemas.openxmlformats.org/drawingml/2006/main" prst="line">
            <a:avLst/>
          </a:prstGeom>
          <a:ln xmlns:a="http://schemas.openxmlformats.org/drawingml/2006/main">
            <a:solidFill>
              <a:schemeClr val="tx2"/>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cxnSp macro="">
        <cdr:nvCxnSpPr>
          <cdr:cNvPr id="4" name="Straight Connector 3">
            <a:extLst xmlns:a="http://schemas.openxmlformats.org/drawingml/2006/main">
              <a:ext uri="{FF2B5EF4-FFF2-40B4-BE49-F238E27FC236}">
                <a16:creationId xmlns:a16="http://schemas.microsoft.com/office/drawing/2014/main" id="{3ED07BFE-C37B-4E90-BFED-A0D4CE53F378}"/>
              </a:ext>
            </a:extLst>
          </cdr:cNvPr>
          <cdr:cNvCxnSpPr/>
        </cdr:nvCxnSpPr>
        <cdr:spPr>
          <a:xfrm xmlns:a="http://schemas.openxmlformats.org/drawingml/2006/main">
            <a:off x="0" y="3758641"/>
            <a:ext cx="17283544" cy="59873"/>
          </a:xfrm>
          <a:prstGeom xmlns:a="http://schemas.openxmlformats.org/drawingml/2006/main" prst="line">
            <a:avLst/>
          </a:prstGeom>
          <a:ln xmlns:a="http://schemas.openxmlformats.org/drawingml/2006/main">
            <a:solidFill>
              <a:schemeClr val="tx2"/>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grpSp>
  </cdr:absSizeAnchor>
</c:userShapes>
</file>

<file path=xl/drawings/drawing4.xml><?xml version="1.0" encoding="utf-8"?>
<c:userShapes xmlns:c="http://schemas.openxmlformats.org/drawingml/2006/chart">
  <cdr:relSizeAnchor xmlns:cdr="http://schemas.openxmlformats.org/drawingml/2006/chartDrawing">
    <cdr:from>
      <cdr:x>0.16049</cdr:x>
      <cdr:y>0.12692</cdr:y>
    </cdr:from>
    <cdr:to>
      <cdr:x>0.98537</cdr:x>
      <cdr:y>0.12768</cdr:y>
    </cdr:to>
    <cdr:cxnSp macro="">
      <cdr:nvCxnSpPr>
        <cdr:cNvPr id="6" name="Straight Connector 5">
          <a:extLst xmlns:a="http://schemas.openxmlformats.org/drawingml/2006/main">
            <a:ext uri="{FF2B5EF4-FFF2-40B4-BE49-F238E27FC236}">
              <a16:creationId xmlns:a16="http://schemas.microsoft.com/office/drawing/2014/main" id="{2109FCA7-B3F1-423D-A544-9EDA8E339364}"/>
            </a:ext>
          </a:extLst>
        </cdr:cNvPr>
        <cdr:cNvCxnSpPr/>
      </cdr:nvCxnSpPr>
      <cdr:spPr>
        <a:xfrm xmlns:a="http://schemas.openxmlformats.org/drawingml/2006/main" flipV="1">
          <a:off x="1861769" y="731552"/>
          <a:ext cx="9569113" cy="4381"/>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0.15494</cdr:x>
      <cdr:y>0.26236</cdr:y>
    </cdr:from>
    <cdr:to>
      <cdr:x>0.97982</cdr:x>
      <cdr:y>0.26313</cdr:y>
    </cdr:to>
    <cdr:cxnSp macro="">
      <cdr:nvCxnSpPr>
        <cdr:cNvPr id="14" name="Straight Connector 13">
          <a:extLst xmlns:a="http://schemas.openxmlformats.org/drawingml/2006/main">
            <a:ext uri="{FF2B5EF4-FFF2-40B4-BE49-F238E27FC236}">
              <a16:creationId xmlns:a16="http://schemas.microsoft.com/office/drawing/2014/main" id="{A3504FB6-A63E-403A-8729-0384789FED2F}"/>
            </a:ext>
          </a:extLst>
        </cdr:cNvPr>
        <cdr:cNvCxnSpPr/>
      </cdr:nvCxnSpPr>
      <cdr:spPr>
        <a:xfrm xmlns:a="http://schemas.openxmlformats.org/drawingml/2006/main" flipV="1">
          <a:off x="1145574" y="981192"/>
          <a:ext cx="6098907" cy="2859"/>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0.15544</cdr:x>
      <cdr:y>0.37288</cdr:y>
    </cdr:from>
    <cdr:to>
      <cdr:x>0.98032</cdr:x>
      <cdr:y>0.37364</cdr:y>
    </cdr:to>
    <cdr:cxnSp macro="">
      <cdr:nvCxnSpPr>
        <cdr:cNvPr id="15" name="Straight Connector 14">
          <a:extLst xmlns:a="http://schemas.openxmlformats.org/drawingml/2006/main">
            <a:ext uri="{FF2B5EF4-FFF2-40B4-BE49-F238E27FC236}">
              <a16:creationId xmlns:a16="http://schemas.microsoft.com/office/drawing/2014/main" id="{7A6C7671-4FA1-4AD8-852C-BCA738DF9A9D}"/>
            </a:ext>
          </a:extLst>
        </cdr:cNvPr>
        <cdr:cNvCxnSpPr/>
      </cdr:nvCxnSpPr>
      <cdr:spPr>
        <a:xfrm xmlns:a="http://schemas.openxmlformats.org/drawingml/2006/main" flipV="1">
          <a:off x="1149271" y="1394506"/>
          <a:ext cx="6098907" cy="2859"/>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0.15402</cdr:x>
      <cdr:y>0.48754</cdr:y>
    </cdr:from>
    <cdr:to>
      <cdr:x>0.9789</cdr:x>
      <cdr:y>0.4883</cdr:y>
    </cdr:to>
    <cdr:cxnSp macro="">
      <cdr:nvCxnSpPr>
        <cdr:cNvPr id="16" name="Straight Connector 15">
          <a:extLst xmlns:a="http://schemas.openxmlformats.org/drawingml/2006/main">
            <a:ext uri="{FF2B5EF4-FFF2-40B4-BE49-F238E27FC236}">
              <a16:creationId xmlns:a16="http://schemas.microsoft.com/office/drawing/2014/main" id="{95A92308-79D4-4C9E-8618-32E7C10AF2D3}"/>
            </a:ext>
          </a:extLst>
        </cdr:cNvPr>
        <cdr:cNvCxnSpPr/>
      </cdr:nvCxnSpPr>
      <cdr:spPr>
        <a:xfrm xmlns:a="http://schemas.openxmlformats.org/drawingml/2006/main" flipV="1">
          <a:off x="1138764" y="1823308"/>
          <a:ext cx="6098907" cy="2859"/>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0.15193</cdr:x>
      <cdr:y>0.59512</cdr:y>
    </cdr:from>
    <cdr:to>
      <cdr:x>0.97681</cdr:x>
      <cdr:y>0.59588</cdr:y>
    </cdr:to>
    <cdr:cxnSp macro="">
      <cdr:nvCxnSpPr>
        <cdr:cNvPr id="17" name="Straight Connector 16">
          <a:extLst xmlns:a="http://schemas.openxmlformats.org/drawingml/2006/main">
            <a:ext uri="{FF2B5EF4-FFF2-40B4-BE49-F238E27FC236}">
              <a16:creationId xmlns:a16="http://schemas.microsoft.com/office/drawing/2014/main" id="{D05818ED-E621-4BCF-86AD-4F058F71AE57}"/>
            </a:ext>
          </a:extLst>
        </cdr:cNvPr>
        <cdr:cNvCxnSpPr/>
      </cdr:nvCxnSpPr>
      <cdr:spPr>
        <a:xfrm xmlns:a="http://schemas.openxmlformats.org/drawingml/2006/main" flipV="1">
          <a:off x="1123294" y="2225634"/>
          <a:ext cx="6098907" cy="2859"/>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0.15494</cdr:x>
      <cdr:y>0.70733</cdr:y>
    </cdr:from>
    <cdr:to>
      <cdr:x>0.97982</cdr:x>
      <cdr:y>0.70809</cdr:y>
    </cdr:to>
    <cdr:cxnSp macro="">
      <cdr:nvCxnSpPr>
        <cdr:cNvPr id="18" name="Straight Connector 17">
          <a:extLst xmlns:a="http://schemas.openxmlformats.org/drawingml/2006/main">
            <a:ext uri="{FF2B5EF4-FFF2-40B4-BE49-F238E27FC236}">
              <a16:creationId xmlns:a16="http://schemas.microsoft.com/office/drawing/2014/main" id="{19906700-07EE-4423-8904-3ECA0D26ADE3}"/>
            </a:ext>
          </a:extLst>
        </cdr:cNvPr>
        <cdr:cNvCxnSpPr/>
      </cdr:nvCxnSpPr>
      <cdr:spPr>
        <a:xfrm xmlns:a="http://schemas.openxmlformats.org/drawingml/2006/main" flipV="1">
          <a:off x="1145575" y="2645279"/>
          <a:ext cx="6098907" cy="2860"/>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0.15377</cdr:x>
      <cdr:y>0.82051</cdr:y>
    </cdr:from>
    <cdr:to>
      <cdr:x>0.97865</cdr:x>
      <cdr:y>0.82128</cdr:y>
    </cdr:to>
    <cdr:cxnSp macro="">
      <cdr:nvCxnSpPr>
        <cdr:cNvPr id="19" name="Straight Connector 18">
          <a:extLst xmlns:a="http://schemas.openxmlformats.org/drawingml/2006/main">
            <a:ext uri="{FF2B5EF4-FFF2-40B4-BE49-F238E27FC236}">
              <a16:creationId xmlns:a16="http://schemas.microsoft.com/office/drawing/2014/main" id="{0AF0804C-86E3-490A-B7EC-17A85C286321}"/>
            </a:ext>
          </a:extLst>
        </cdr:cNvPr>
        <cdr:cNvCxnSpPr/>
      </cdr:nvCxnSpPr>
      <cdr:spPr>
        <a:xfrm xmlns:a="http://schemas.openxmlformats.org/drawingml/2006/main" flipV="1">
          <a:off x="1136916" y="3068584"/>
          <a:ext cx="6098907" cy="2859"/>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0.15745</cdr:x>
      <cdr:y>0.15288</cdr:y>
    </cdr:from>
    <cdr:to>
      <cdr:x>0.98233</cdr:x>
      <cdr:y>0.15364</cdr:y>
    </cdr:to>
    <cdr:cxnSp macro="">
      <cdr:nvCxnSpPr>
        <cdr:cNvPr id="6" name="Straight Connector 5">
          <a:extLst xmlns:a="http://schemas.openxmlformats.org/drawingml/2006/main">
            <a:ext uri="{FF2B5EF4-FFF2-40B4-BE49-F238E27FC236}">
              <a16:creationId xmlns:a16="http://schemas.microsoft.com/office/drawing/2014/main" id="{825B70C8-0F68-44BE-8CC6-594161513489}"/>
            </a:ext>
          </a:extLst>
        </cdr:cNvPr>
        <cdr:cNvCxnSpPr/>
      </cdr:nvCxnSpPr>
      <cdr:spPr>
        <a:xfrm xmlns:a="http://schemas.openxmlformats.org/drawingml/2006/main" flipV="1">
          <a:off x="1164163" y="571749"/>
          <a:ext cx="6098912" cy="2842"/>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0.15377</cdr:x>
      <cdr:y>0.3133</cdr:y>
    </cdr:from>
    <cdr:to>
      <cdr:x>0.97865</cdr:x>
      <cdr:y>0.31406</cdr:y>
    </cdr:to>
    <cdr:cxnSp macro="">
      <cdr:nvCxnSpPr>
        <cdr:cNvPr id="14" name="Straight Connector 13">
          <a:extLst xmlns:a="http://schemas.openxmlformats.org/drawingml/2006/main">
            <a:ext uri="{FF2B5EF4-FFF2-40B4-BE49-F238E27FC236}">
              <a16:creationId xmlns:a16="http://schemas.microsoft.com/office/drawing/2014/main" id="{1576E834-ACEB-4990-8ABA-CF303981D554}"/>
            </a:ext>
          </a:extLst>
        </cdr:cNvPr>
        <cdr:cNvCxnSpPr/>
      </cdr:nvCxnSpPr>
      <cdr:spPr>
        <a:xfrm xmlns:a="http://schemas.openxmlformats.org/drawingml/2006/main" flipV="1">
          <a:off x="1136912" y="1171701"/>
          <a:ext cx="6098912" cy="2842"/>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0.15661</cdr:x>
      <cdr:y>0.46549</cdr:y>
    </cdr:from>
    <cdr:to>
      <cdr:x>0.98149</cdr:x>
      <cdr:y>0.46626</cdr:y>
    </cdr:to>
    <cdr:cxnSp macro="">
      <cdr:nvCxnSpPr>
        <cdr:cNvPr id="15" name="Straight Connector 14">
          <a:extLst xmlns:a="http://schemas.openxmlformats.org/drawingml/2006/main">
            <a:ext uri="{FF2B5EF4-FFF2-40B4-BE49-F238E27FC236}">
              <a16:creationId xmlns:a16="http://schemas.microsoft.com/office/drawing/2014/main" id="{8231856C-9404-428F-BEB8-05B72F7540BB}"/>
            </a:ext>
          </a:extLst>
        </cdr:cNvPr>
        <cdr:cNvCxnSpPr/>
      </cdr:nvCxnSpPr>
      <cdr:spPr>
        <a:xfrm xmlns:a="http://schemas.openxmlformats.org/drawingml/2006/main" flipV="1">
          <a:off x="1157943" y="1740855"/>
          <a:ext cx="6098912" cy="2880"/>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0.15427</cdr:x>
      <cdr:y>0.61827</cdr:y>
    </cdr:from>
    <cdr:to>
      <cdr:x>0.97915</cdr:x>
      <cdr:y>0.61903</cdr:y>
    </cdr:to>
    <cdr:cxnSp macro="">
      <cdr:nvCxnSpPr>
        <cdr:cNvPr id="17" name="Straight Connector 16">
          <a:extLst xmlns:a="http://schemas.openxmlformats.org/drawingml/2006/main">
            <a:ext uri="{FF2B5EF4-FFF2-40B4-BE49-F238E27FC236}">
              <a16:creationId xmlns:a16="http://schemas.microsoft.com/office/drawing/2014/main" id="{DED9098C-1A64-4443-8EE9-8A96ED9440B8}"/>
            </a:ext>
          </a:extLst>
        </cdr:cNvPr>
        <cdr:cNvCxnSpPr/>
      </cdr:nvCxnSpPr>
      <cdr:spPr>
        <a:xfrm xmlns:a="http://schemas.openxmlformats.org/drawingml/2006/main" flipV="1">
          <a:off x="1595484" y="2975514"/>
          <a:ext cx="8531034" cy="3658"/>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0.15728</cdr:x>
      <cdr:y>0.76753</cdr:y>
    </cdr:from>
    <cdr:to>
      <cdr:x>0.98216</cdr:x>
      <cdr:y>0.76829</cdr:y>
    </cdr:to>
    <cdr:cxnSp macro="">
      <cdr:nvCxnSpPr>
        <cdr:cNvPr id="18" name="Straight Connector 17">
          <a:extLst xmlns:a="http://schemas.openxmlformats.org/drawingml/2006/main">
            <a:ext uri="{FF2B5EF4-FFF2-40B4-BE49-F238E27FC236}">
              <a16:creationId xmlns:a16="http://schemas.microsoft.com/office/drawing/2014/main" id="{6DD3E0DB-F32B-43B0-BE82-6E0D2350C0D6}"/>
            </a:ext>
          </a:extLst>
        </cdr:cNvPr>
        <cdr:cNvCxnSpPr/>
      </cdr:nvCxnSpPr>
      <cdr:spPr>
        <a:xfrm xmlns:a="http://schemas.openxmlformats.org/drawingml/2006/main" flipV="1">
          <a:off x="1162890" y="2870429"/>
          <a:ext cx="6098912" cy="2843"/>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0.15394</cdr:x>
      <cdr:y>0.17832</cdr:y>
    </cdr:from>
    <cdr:to>
      <cdr:x>0.9723</cdr:x>
      <cdr:y>0.17911</cdr:y>
    </cdr:to>
    <cdr:cxnSp macro="">
      <cdr:nvCxnSpPr>
        <cdr:cNvPr id="6" name="Straight Connector 5">
          <a:extLst xmlns:a="http://schemas.openxmlformats.org/drawingml/2006/main">
            <a:ext uri="{FF2B5EF4-FFF2-40B4-BE49-F238E27FC236}">
              <a16:creationId xmlns:a16="http://schemas.microsoft.com/office/drawing/2014/main" id="{5A7BE265-E5E0-4D07-9AFC-3F6824489069}"/>
            </a:ext>
          </a:extLst>
        </cdr:cNvPr>
        <cdr:cNvCxnSpPr/>
      </cdr:nvCxnSpPr>
      <cdr:spPr>
        <a:xfrm xmlns:a="http://schemas.openxmlformats.org/drawingml/2006/main" flipV="1">
          <a:off x="1148288" y="669484"/>
          <a:ext cx="6104388" cy="2957"/>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0.15399</cdr:x>
      <cdr:y>0.38741</cdr:y>
    </cdr:from>
    <cdr:to>
      <cdr:x>0.97235</cdr:x>
      <cdr:y>0.3882</cdr:y>
    </cdr:to>
    <cdr:cxnSp macro="">
      <cdr:nvCxnSpPr>
        <cdr:cNvPr id="10" name="Straight Connector 9">
          <a:extLst xmlns:a="http://schemas.openxmlformats.org/drawingml/2006/main">
            <a:ext uri="{FF2B5EF4-FFF2-40B4-BE49-F238E27FC236}">
              <a16:creationId xmlns:a16="http://schemas.microsoft.com/office/drawing/2014/main" id="{59C44034-EA36-45E0-97C4-36A42F251672}"/>
            </a:ext>
          </a:extLst>
        </cdr:cNvPr>
        <cdr:cNvCxnSpPr/>
      </cdr:nvCxnSpPr>
      <cdr:spPr>
        <a:xfrm xmlns:a="http://schemas.openxmlformats.org/drawingml/2006/main" flipV="1">
          <a:off x="1148682" y="1454485"/>
          <a:ext cx="6104388" cy="2957"/>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0.15466</cdr:x>
      <cdr:y>0.59572</cdr:y>
    </cdr:from>
    <cdr:to>
      <cdr:x>0.97302</cdr:x>
      <cdr:y>0.59651</cdr:y>
    </cdr:to>
    <cdr:cxnSp macro="">
      <cdr:nvCxnSpPr>
        <cdr:cNvPr id="11" name="Straight Connector 10">
          <a:extLst xmlns:a="http://schemas.openxmlformats.org/drawingml/2006/main">
            <a:ext uri="{FF2B5EF4-FFF2-40B4-BE49-F238E27FC236}">
              <a16:creationId xmlns:a16="http://schemas.microsoft.com/office/drawing/2014/main" id="{DCB22173-14F3-4579-996A-1C5B8F2BB4AC}"/>
            </a:ext>
          </a:extLst>
        </cdr:cNvPr>
        <cdr:cNvCxnSpPr/>
      </cdr:nvCxnSpPr>
      <cdr:spPr>
        <a:xfrm xmlns:a="http://schemas.openxmlformats.org/drawingml/2006/main" flipV="1">
          <a:off x="1153695" y="2236537"/>
          <a:ext cx="6104388" cy="2957"/>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0.15466</cdr:x>
      <cdr:y>0.78266</cdr:y>
    </cdr:from>
    <cdr:to>
      <cdr:x>0.97302</cdr:x>
      <cdr:y>0.78345</cdr:y>
    </cdr:to>
    <cdr:cxnSp macro="">
      <cdr:nvCxnSpPr>
        <cdr:cNvPr id="12" name="Straight Connector 11">
          <a:extLst xmlns:a="http://schemas.openxmlformats.org/drawingml/2006/main">
            <a:ext uri="{FF2B5EF4-FFF2-40B4-BE49-F238E27FC236}">
              <a16:creationId xmlns:a16="http://schemas.microsoft.com/office/drawing/2014/main" id="{64EEC0BC-8D3F-4E81-BB55-17B9D94CE2B8}"/>
            </a:ext>
          </a:extLst>
        </cdr:cNvPr>
        <cdr:cNvCxnSpPr/>
      </cdr:nvCxnSpPr>
      <cdr:spPr>
        <a:xfrm xmlns:a="http://schemas.openxmlformats.org/drawingml/2006/main" flipV="1">
          <a:off x="1153695" y="2938379"/>
          <a:ext cx="6104388" cy="2957"/>
        </a:xfrm>
        <a:prstGeom xmlns:a="http://schemas.openxmlformats.org/drawingml/2006/main" prst="line">
          <a:avLst/>
        </a:prstGeom>
        <a:ln xmlns:a="http://schemas.openxmlformats.org/drawingml/2006/main">
          <a:solidFill>
            <a:srgbClr val="DDDDDD"/>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0.44732</cdr:x>
      <cdr:y>0.11673</cdr:y>
    </cdr:from>
    <cdr:to>
      <cdr:x>0.50318</cdr:x>
      <cdr:y>0.4931</cdr:y>
    </cdr:to>
    <cdr:cxnSp macro="">
      <cdr:nvCxnSpPr>
        <cdr:cNvPr id="6" name="Gerader Verbinder 5">
          <a:extLst xmlns:a="http://schemas.openxmlformats.org/drawingml/2006/main">
            <a:ext uri="{FF2B5EF4-FFF2-40B4-BE49-F238E27FC236}">
              <a16:creationId xmlns:a16="http://schemas.microsoft.com/office/drawing/2014/main" id="{847A6CD8-F4C3-4BC8-A6E5-2D54AAC7AA6E}"/>
            </a:ext>
          </a:extLst>
        </cdr:cNvPr>
        <cdr:cNvCxnSpPr/>
      </cdr:nvCxnSpPr>
      <cdr:spPr>
        <a:xfrm xmlns:a="http://schemas.openxmlformats.org/drawingml/2006/main" flipH="1" flipV="1">
          <a:off x="4795157" y="993322"/>
          <a:ext cx="598821" cy="3202949"/>
        </a:xfrm>
        <a:prstGeom xmlns:a="http://schemas.openxmlformats.org/drawingml/2006/main" prst="line">
          <a:avLst/>
        </a:prstGeom>
        <a:ln xmlns:a="http://schemas.openxmlformats.org/drawingml/2006/main" w="28575">
          <a:solidFill>
            <a:srgbClr val="00B0F0">
              <a:alpha val="77647"/>
            </a:srgb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0.50431</cdr:x>
      <cdr:y>0.50035</cdr:y>
    </cdr:from>
    <cdr:to>
      <cdr:x>0.73702</cdr:x>
      <cdr:y>0.74587</cdr:y>
    </cdr:to>
    <cdr:cxnSp macro="">
      <cdr:nvCxnSpPr>
        <cdr:cNvPr id="7" name="Gerader Verbinder 6">
          <a:extLst xmlns:a="http://schemas.openxmlformats.org/drawingml/2006/main">
            <a:ext uri="{FF2B5EF4-FFF2-40B4-BE49-F238E27FC236}">
              <a16:creationId xmlns:a16="http://schemas.microsoft.com/office/drawing/2014/main" id="{C3969DFA-A75C-4DFF-BEFF-D83E1775CFBD}"/>
            </a:ext>
          </a:extLst>
        </cdr:cNvPr>
        <cdr:cNvCxnSpPr/>
      </cdr:nvCxnSpPr>
      <cdr:spPr>
        <a:xfrm xmlns:a="http://schemas.openxmlformats.org/drawingml/2006/main" flipH="1" flipV="1">
          <a:off x="5556372" y="4155339"/>
          <a:ext cx="2563924" cy="2039034"/>
        </a:xfrm>
        <a:prstGeom xmlns:a="http://schemas.openxmlformats.org/drawingml/2006/main" prst="line">
          <a:avLst/>
        </a:prstGeom>
        <a:ln xmlns:a="http://schemas.openxmlformats.org/drawingml/2006/main" w="28575">
          <a:solidFill>
            <a:srgbClr val="00B0F0">
              <a:alpha val="78000"/>
            </a:srgb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0.19756</cdr:x>
      <cdr:y>0.49837</cdr:y>
    </cdr:from>
    <cdr:to>
      <cdr:x>0.50205</cdr:x>
      <cdr:y>0.63347</cdr:y>
    </cdr:to>
    <cdr:cxnSp macro="">
      <cdr:nvCxnSpPr>
        <cdr:cNvPr id="8" name="Gerader Verbinder 7">
          <a:extLst xmlns:a="http://schemas.openxmlformats.org/drawingml/2006/main">
            <a:ext uri="{FF2B5EF4-FFF2-40B4-BE49-F238E27FC236}">
              <a16:creationId xmlns:a16="http://schemas.microsoft.com/office/drawing/2014/main" id="{7473105D-A844-452E-BE56-DC402905AB49}"/>
            </a:ext>
          </a:extLst>
        </cdr:cNvPr>
        <cdr:cNvCxnSpPr/>
      </cdr:nvCxnSpPr>
      <cdr:spPr>
        <a:xfrm xmlns:a="http://schemas.openxmlformats.org/drawingml/2006/main" flipV="1">
          <a:off x="2176696" y="4138895"/>
          <a:ext cx="3354775" cy="1122028"/>
        </a:xfrm>
        <a:prstGeom xmlns:a="http://schemas.openxmlformats.org/drawingml/2006/main" prst="line">
          <a:avLst/>
        </a:prstGeom>
        <a:ln xmlns:a="http://schemas.openxmlformats.org/drawingml/2006/main" w="28575">
          <a:solidFill>
            <a:srgbClr val="00B0F0">
              <a:alpha val="78000"/>
            </a:srgb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0.08677</cdr:x>
      <cdr:y>0.08812</cdr:y>
    </cdr:from>
    <cdr:to>
      <cdr:x>0.14889</cdr:x>
      <cdr:y>0.29317</cdr:y>
    </cdr:to>
    <cdr:sp macro="" textlink="'Diagram Data'!$T$3">
      <cdr:nvSpPr>
        <cdr:cNvPr id="3" name="Flowchart: Punched Tape 6"/>
        <cdr:cNvSpPr/>
      </cdr:nvSpPr>
      <cdr:spPr>
        <a:xfrm xmlns:a="http://schemas.openxmlformats.org/drawingml/2006/main" rot="18712352">
          <a:off x="441930" y="1271684"/>
          <a:ext cx="1739633" cy="691524"/>
        </a:xfrm>
        <a:prstGeom xmlns:a="http://schemas.openxmlformats.org/drawingml/2006/main" prst="flowChartPunchedTap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1E7E6D30-33F8-4A14-84A1-CB1353127154}" type="TxLink">
            <a:rPr lang="en-US" sz="1400" b="1" i="0" u="none" strike="noStrike">
              <a:solidFill>
                <a:srgbClr val="00B0F0"/>
              </a:solidFill>
              <a:latin typeface="Calibri"/>
              <a:ea typeface="+mn-ea"/>
              <a:cs typeface="Calibri"/>
            </a:rPr>
            <a:pPr marL="0" indent="0" algn="ctr"/>
            <a:t>Enabling environment</a:t>
          </a:fld>
          <a:endParaRPr lang="en-GB" sz="1400" b="1" i="0" u="none" strike="noStrike">
            <a:solidFill>
              <a:srgbClr val="00B0F0"/>
            </a:solidFill>
            <a:latin typeface="Calibri"/>
            <a:ea typeface="+mn-ea"/>
            <a:cs typeface="Calibri"/>
          </a:endParaRPr>
        </a:p>
      </cdr:txBody>
    </cdr:sp>
  </cdr:relSizeAnchor>
  <cdr:relSizeAnchor xmlns:cdr="http://schemas.openxmlformats.org/drawingml/2006/chartDrawing">
    <cdr:from>
      <cdr:x>0.80667</cdr:x>
      <cdr:y>0.07748</cdr:y>
    </cdr:from>
    <cdr:to>
      <cdr:x>0.8651</cdr:x>
      <cdr:y>0.27424</cdr:y>
    </cdr:to>
    <cdr:sp macro="" textlink="'Diagram Data'!$T$5">
      <cdr:nvSpPr>
        <cdr:cNvPr id="4" name="Flowchart: Punched Tape 7"/>
        <cdr:cNvSpPr/>
      </cdr:nvSpPr>
      <cdr:spPr>
        <a:xfrm xmlns:a="http://schemas.openxmlformats.org/drawingml/2006/main" rot="2975556">
          <a:off x="8470532" y="1166761"/>
          <a:ext cx="1669278" cy="650447"/>
        </a:xfrm>
        <a:prstGeom xmlns:a="http://schemas.openxmlformats.org/drawingml/2006/main" prst="flowChartPunchedTap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3085A5BB-A1F5-444A-BC51-6FC8DF316B74}" type="TxLink">
            <a:rPr lang="en-US" sz="1400" b="1" i="0" u="none" strike="noStrike">
              <a:solidFill>
                <a:srgbClr val="00B0F0"/>
              </a:solidFill>
              <a:latin typeface="Calibri"/>
              <a:ea typeface="+mn-ea"/>
              <a:cs typeface="Calibri"/>
            </a:rPr>
            <a:pPr marL="0" indent="0" algn="ctr"/>
            <a:t>Supply Side</a:t>
          </a:fld>
          <a:endParaRPr lang="en-GB" sz="1400" b="1" i="0" u="none" strike="noStrike">
            <a:solidFill>
              <a:srgbClr val="00B0F0"/>
            </a:solidFill>
            <a:latin typeface="Calibri"/>
            <a:ea typeface="+mn-ea"/>
            <a:cs typeface="Calibri"/>
          </a:endParaRPr>
        </a:p>
      </cdr:txBody>
    </cdr:sp>
  </cdr:relSizeAnchor>
  <cdr:relSizeAnchor xmlns:cdr="http://schemas.openxmlformats.org/drawingml/2006/chartDrawing">
    <cdr:from>
      <cdr:x>0.02544</cdr:x>
      <cdr:y>0.7744</cdr:y>
    </cdr:from>
    <cdr:to>
      <cdr:x>0.20409</cdr:x>
      <cdr:y>0.85525</cdr:y>
    </cdr:to>
    <cdr:sp macro="" textlink="'Diagram Data'!$T$4">
      <cdr:nvSpPr>
        <cdr:cNvPr id="5" name="Flowchart: Punched Tape 9"/>
        <cdr:cNvSpPr/>
      </cdr:nvSpPr>
      <cdr:spPr>
        <a:xfrm xmlns:a="http://schemas.openxmlformats.org/drawingml/2006/main" rot="2539948">
          <a:off x="283189" y="6569998"/>
          <a:ext cx="1988716" cy="685926"/>
        </a:xfrm>
        <a:prstGeom xmlns:a="http://schemas.openxmlformats.org/drawingml/2006/main" prst="flowChartPunchedTap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01AFC49B-6A7D-4006-8DC8-600AAFD801CC}" type="TxLink">
            <a:rPr lang="en-US" sz="1400" b="1" i="0" u="none" strike="noStrike">
              <a:solidFill>
                <a:srgbClr val="00B0F0"/>
              </a:solidFill>
              <a:latin typeface="Calibri"/>
              <a:ea typeface="+mn-ea"/>
              <a:cs typeface="Calibri"/>
            </a:rPr>
            <a:pPr marL="0" indent="0" algn="ctr"/>
            <a:t>Demand side</a:t>
          </a:fld>
          <a:endParaRPr lang="en-GB" sz="1400" b="1" i="0" u="none" strike="noStrike">
            <a:solidFill>
              <a:srgbClr val="00B0F0"/>
            </a:solidFill>
            <a:latin typeface="Calibri"/>
            <a:ea typeface="+mn-ea"/>
            <a:cs typeface="Calibri"/>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36</xdr:col>
      <xdr:colOff>225136</xdr:colOff>
      <xdr:row>5</xdr:row>
      <xdr:rowOff>190500</xdr:rowOff>
    </xdr:from>
    <xdr:to>
      <xdr:col>51</xdr:col>
      <xdr:colOff>107156</xdr:colOff>
      <xdr:row>24</xdr:row>
      <xdr:rowOff>110233</xdr:rowOff>
    </xdr:to>
    <xdr:pic>
      <xdr:nvPicPr>
        <xdr:cNvPr id="75" name="Grafik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01042" y="2678906"/>
          <a:ext cx="13252739" cy="538470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29</xdr:col>
          <xdr:colOff>118701</xdr:colOff>
          <xdr:row>1</xdr:row>
          <xdr:rowOff>849777</xdr:rowOff>
        </xdr:from>
        <xdr:to>
          <xdr:col>31</xdr:col>
          <xdr:colOff>60643</xdr:colOff>
          <xdr:row>5</xdr:row>
          <xdr:rowOff>130969</xdr:rowOff>
        </xdr:to>
        <xdr:pic>
          <xdr:nvPicPr>
            <xdr:cNvPr id="2" name="Picture 12">
              <a:extLst>
                <a:ext uri="{FF2B5EF4-FFF2-40B4-BE49-F238E27FC236}">
                  <a16:creationId xmlns:a16="http://schemas.microsoft.com/office/drawing/2014/main" id="{00000000-0008-0000-0400-000002000000}"/>
                </a:ext>
              </a:extLst>
            </xdr:cNvPr>
            <xdr:cNvPicPr>
              <a:picLocks noChangeAspect="1" noChangeArrowheads="1"/>
              <a:extLst>
                <a:ext uri="{84589F7E-364E-4C9E-8A38-B11213B215E9}">
                  <a14:cameraTool cellRange="TechnologyLookup" spid="_x0000_s190305"/>
                </a:ext>
              </a:extLst>
            </xdr:cNvPicPr>
          </xdr:nvPicPr>
          <xdr:blipFill rotWithShape="1">
            <a:blip xmlns:r="http://schemas.openxmlformats.org/officeDocument/2006/relationships" r:embed="rId2"/>
            <a:srcRect l="26643" t="-2935" r="21197" b="-3012"/>
            <a:stretch>
              <a:fillRect/>
            </a:stretch>
          </xdr:blipFill>
          <xdr:spPr bwMode="auto">
            <a:xfrm>
              <a:off x="13596576" y="1397465"/>
              <a:ext cx="1239723" cy="122191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30</xdr:col>
      <xdr:colOff>11906</xdr:colOff>
      <xdr:row>5</xdr:row>
      <xdr:rowOff>261938</xdr:rowOff>
    </xdr:from>
    <xdr:to>
      <xdr:col>31</xdr:col>
      <xdr:colOff>90477</xdr:colOff>
      <xdr:row>14</xdr:row>
      <xdr:rowOff>12691</xdr:rowOff>
    </xdr:to>
    <xdr:pic>
      <xdr:nvPicPr>
        <xdr:cNvPr id="3" name="Picture 20">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3"/>
        <a:srcRect b="5312"/>
        <a:stretch/>
      </xdr:blipFill>
      <xdr:spPr>
        <a:xfrm>
          <a:off x="13608844" y="2750344"/>
          <a:ext cx="1257289" cy="2524910"/>
        </a:xfrm>
        <a:prstGeom prst="rect">
          <a:avLst/>
        </a:prstGeom>
      </xdr:spPr>
    </xdr:pic>
    <xdr:clientData/>
  </xdr:twoCellAnchor>
  <xdr:twoCellAnchor>
    <xdr:from>
      <xdr:col>21</xdr:col>
      <xdr:colOff>9601</xdr:colOff>
      <xdr:row>14</xdr:row>
      <xdr:rowOff>253875</xdr:rowOff>
    </xdr:from>
    <xdr:to>
      <xdr:col>32</xdr:col>
      <xdr:colOff>119063</xdr:colOff>
      <xdr:row>19</xdr:row>
      <xdr:rowOff>273845</xdr:rowOff>
    </xdr:to>
    <xdr:grpSp>
      <xdr:nvGrpSpPr>
        <xdr:cNvPr id="4" name="Group 71">
          <a:extLst>
            <a:ext uri="{FF2B5EF4-FFF2-40B4-BE49-F238E27FC236}">
              <a16:creationId xmlns:a16="http://schemas.microsoft.com/office/drawing/2014/main" id="{00000000-0008-0000-0400-000004000000}"/>
            </a:ext>
          </a:extLst>
        </xdr:cNvPr>
        <xdr:cNvGrpSpPr/>
      </xdr:nvGrpSpPr>
      <xdr:grpSpPr>
        <a:xfrm>
          <a:off x="9677476" y="5460875"/>
          <a:ext cx="5284712" cy="1543970"/>
          <a:chOff x="8212796" y="3284593"/>
          <a:chExt cx="5150887" cy="1209707"/>
        </a:xfrm>
      </xdr:grpSpPr>
      <xdr:grpSp>
        <xdr:nvGrpSpPr>
          <xdr:cNvPr id="5" name="Gruppieren 12">
            <a:extLst>
              <a:ext uri="{FF2B5EF4-FFF2-40B4-BE49-F238E27FC236}">
                <a16:creationId xmlns:a16="http://schemas.microsoft.com/office/drawing/2014/main" id="{00000000-0008-0000-0400-000005000000}"/>
              </a:ext>
            </a:extLst>
          </xdr:cNvPr>
          <xdr:cNvGrpSpPr/>
        </xdr:nvGrpSpPr>
        <xdr:grpSpPr>
          <a:xfrm>
            <a:off x="8285259" y="3284593"/>
            <a:ext cx="5078424" cy="1209707"/>
            <a:chOff x="4184898" y="322587"/>
            <a:chExt cx="4984290" cy="1253765"/>
          </a:xfrm>
        </xdr:grpSpPr>
        <xdr:pic>
          <xdr:nvPicPr>
            <xdr:cNvPr id="7" name="Grafik 13">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11761" y="322587"/>
              <a:ext cx="4826579" cy="1253765"/>
            </a:xfrm>
            <a:prstGeom prst="rect">
              <a:avLst/>
            </a:prstGeom>
            <a:ln>
              <a:noFill/>
            </a:ln>
          </xdr:spPr>
        </xdr:pic>
        <xdr:grpSp>
          <xdr:nvGrpSpPr>
            <xdr:cNvPr id="8" name="Gruppieren 14">
              <a:extLst>
                <a:ext uri="{FF2B5EF4-FFF2-40B4-BE49-F238E27FC236}">
                  <a16:creationId xmlns:a16="http://schemas.microsoft.com/office/drawing/2014/main" id="{00000000-0008-0000-0400-000008000000}"/>
                </a:ext>
              </a:extLst>
            </xdr:cNvPr>
            <xdr:cNvGrpSpPr/>
          </xdr:nvGrpSpPr>
          <xdr:grpSpPr>
            <a:xfrm>
              <a:off x="4184898" y="902599"/>
              <a:ext cx="4984290" cy="624757"/>
              <a:chOff x="623205" y="-1456955"/>
              <a:chExt cx="6125098" cy="735172"/>
            </a:xfrm>
          </xdr:grpSpPr>
          <xdr:sp macro="" textlink="">
            <xdr:nvSpPr>
              <xdr:cNvPr id="9" name="Textfeld 43">
                <a:extLst>
                  <a:ext uri="{FF2B5EF4-FFF2-40B4-BE49-F238E27FC236}">
                    <a16:creationId xmlns:a16="http://schemas.microsoft.com/office/drawing/2014/main" id="{00000000-0008-0000-0400-000009000000}"/>
                  </a:ext>
                </a:extLst>
              </xdr:cNvPr>
              <xdr:cNvSpPr txBox="1"/>
            </xdr:nvSpPr>
            <xdr:spPr>
              <a:xfrm>
                <a:off x="623205" y="-1344820"/>
                <a:ext cx="1179904" cy="44018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900" b="1"/>
                  <a:t>Pre-Commercial Phase 0 </a:t>
                </a:r>
              </a:p>
            </xdr:txBody>
          </xdr:sp>
          <xdr:sp macro="" textlink="">
            <xdr:nvSpPr>
              <xdr:cNvPr id="10" name="Textfeld 44">
                <a:extLst>
                  <a:ext uri="{FF2B5EF4-FFF2-40B4-BE49-F238E27FC236}">
                    <a16:creationId xmlns:a16="http://schemas.microsoft.com/office/drawing/2014/main" id="{00000000-0008-0000-0400-00000A000000}"/>
                  </a:ext>
                </a:extLst>
              </xdr:cNvPr>
              <xdr:cNvSpPr txBox="1"/>
            </xdr:nvSpPr>
            <xdr:spPr>
              <a:xfrm>
                <a:off x="1739713" y="-1434821"/>
                <a:ext cx="924541" cy="51164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900" b="1"/>
                  <a:t>Pioneering Phase I </a:t>
                </a:r>
              </a:p>
            </xdr:txBody>
          </xdr:sp>
          <xdr:sp macro="" textlink="">
            <xdr:nvSpPr>
              <xdr:cNvPr id="11" name="Textfeld 45">
                <a:extLst>
                  <a:ext uri="{FF2B5EF4-FFF2-40B4-BE49-F238E27FC236}">
                    <a16:creationId xmlns:a16="http://schemas.microsoft.com/office/drawing/2014/main" id="{00000000-0008-0000-0400-00000B000000}"/>
                  </a:ext>
                </a:extLst>
              </xdr:cNvPr>
              <xdr:cNvSpPr txBox="1"/>
            </xdr:nvSpPr>
            <xdr:spPr>
              <a:xfrm>
                <a:off x="2938111" y="-1451403"/>
                <a:ext cx="908250" cy="44018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900" b="1">
                    <a:solidFill>
                      <a:srgbClr val="000000"/>
                    </a:solidFill>
                  </a:rPr>
                  <a:t>Expansion Phase II</a:t>
                </a:r>
                <a:endParaRPr lang="en-GB" sz="900" b="1"/>
              </a:p>
            </xdr:txBody>
          </xdr:sp>
          <xdr:sp macro="" textlink="">
            <xdr:nvSpPr>
              <xdr:cNvPr id="12" name="Textfeld 46">
                <a:extLst>
                  <a:ext uri="{FF2B5EF4-FFF2-40B4-BE49-F238E27FC236}">
                    <a16:creationId xmlns:a16="http://schemas.microsoft.com/office/drawing/2014/main" id="{00000000-0008-0000-0400-00000C000000}"/>
                  </a:ext>
                </a:extLst>
              </xdr:cNvPr>
              <xdr:cNvSpPr txBox="1"/>
            </xdr:nvSpPr>
            <xdr:spPr>
              <a:xfrm>
                <a:off x="4079317" y="-1438110"/>
                <a:ext cx="873656" cy="44018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900" b="1">
                    <a:solidFill>
                      <a:srgbClr val="000000"/>
                    </a:solidFill>
                  </a:rPr>
                  <a:t>Maturity Phase III</a:t>
                </a:r>
                <a:endParaRPr lang="en-GB" sz="900"/>
              </a:p>
            </xdr:txBody>
          </xdr:sp>
          <xdr:sp macro="" textlink="">
            <xdr:nvSpPr>
              <xdr:cNvPr id="13" name="Textfeld 47">
                <a:extLst>
                  <a:ext uri="{FF2B5EF4-FFF2-40B4-BE49-F238E27FC236}">
                    <a16:creationId xmlns:a16="http://schemas.microsoft.com/office/drawing/2014/main" id="{00000000-0008-0000-0400-00000D000000}"/>
                  </a:ext>
                </a:extLst>
              </xdr:cNvPr>
              <xdr:cNvSpPr txBox="1"/>
            </xdr:nvSpPr>
            <xdr:spPr>
              <a:xfrm>
                <a:off x="5072230" y="-1456955"/>
                <a:ext cx="884289" cy="70432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900" b="1">
                    <a:solidFill>
                      <a:srgbClr val="000000"/>
                    </a:solidFill>
                  </a:rPr>
                  <a:t>Saturation Phase </a:t>
                </a:r>
              </a:p>
              <a:p>
                <a:pPr algn="ctr"/>
                <a:r>
                  <a:rPr lang="en-GB" sz="900" b="1">
                    <a:solidFill>
                      <a:srgbClr val="000000"/>
                    </a:solidFill>
                  </a:rPr>
                  <a:t>IV</a:t>
                </a:r>
                <a:endParaRPr lang="en-GB" sz="900"/>
              </a:p>
            </xdr:txBody>
          </xdr:sp>
          <xdr:sp macro="" textlink="">
            <xdr:nvSpPr>
              <xdr:cNvPr id="14" name="Textfeld 48">
                <a:extLst>
                  <a:ext uri="{FF2B5EF4-FFF2-40B4-BE49-F238E27FC236}">
                    <a16:creationId xmlns:a16="http://schemas.microsoft.com/office/drawing/2014/main" id="{00000000-0008-0000-0400-00000E000000}"/>
                  </a:ext>
                </a:extLst>
              </xdr:cNvPr>
              <xdr:cNvSpPr txBox="1"/>
            </xdr:nvSpPr>
            <xdr:spPr>
              <a:xfrm>
                <a:off x="5609003" y="-1275601"/>
                <a:ext cx="1139300" cy="55381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900" b="1">
                    <a:solidFill>
                      <a:srgbClr val="000000"/>
                    </a:solidFill>
                  </a:rPr>
                  <a:t>Degeneration </a:t>
                </a:r>
              </a:p>
              <a:p>
                <a:pPr algn="ctr"/>
                <a:r>
                  <a:rPr lang="en-GB" sz="900" b="1">
                    <a:solidFill>
                      <a:srgbClr val="000000"/>
                    </a:solidFill>
                  </a:rPr>
                  <a:t>Phase </a:t>
                </a:r>
              </a:p>
              <a:p>
                <a:pPr algn="ctr"/>
                <a:r>
                  <a:rPr lang="en-GB" sz="900" b="1">
                    <a:solidFill>
                      <a:srgbClr val="000000"/>
                    </a:solidFill>
                  </a:rPr>
                  <a:t>V</a:t>
                </a:r>
                <a:r>
                  <a:rPr lang="en-GB" sz="900"/>
                  <a:t> </a:t>
                </a:r>
              </a:p>
            </xdr:txBody>
          </xdr:sp>
        </xdr:grpSp>
      </xdr:grpSp>
      <xdr:sp macro="" textlink="">
        <xdr:nvSpPr>
          <xdr:cNvPr id="6" name="Textfeld 44">
            <a:extLst>
              <a:ext uri="{FF2B5EF4-FFF2-40B4-BE49-F238E27FC236}">
                <a16:creationId xmlns:a16="http://schemas.microsoft.com/office/drawing/2014/main" id="{00000000-0008-0000-0400-000006000000}"/>
              </a:ext>
            </a:extLst>
          </xdr:cNvPr>
          <xdr:cNvSpPr txBox="1"/>
        </xdr:nvSpPr>
        <xdr:spPr>
          <a:xfrm>
            <a:off x="8212796" y="3287570"/>
            <a:ext cx="1817919" cy="41736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600" b="1" baseline="0"/>
              <a:t>Market</a:t>
            </a:r>
            <a:r>
              <a:rPr lang="en-GB" sz="1600" b="1"/>
              <a:t> phases</a:t>
            </a:r>
          </a:p>
        </xdr:txBody>
      </xdr:sp>
    </xdr:grpSp>
    <xdr:clientData/>
  </xdr:twoCellAnchor>
  <xdr:twoCellAnchor>
    <xdr:from>
      <xdr:col>35</xdr:col>
      <xdr:colOff>217129</xdr:colOff>
      <xdr:row>5</xdr:row>
      <xdr:rowOff>25400</xdr:rowOff>
    </xdr:from>
    <xdr:to>
      <xdr:col>51</xdr:col>
      <xdr:colOff>388692</xdr:colOff>
      <xdr:row>25</xdr:row>
      <xdr:rowOff>387617</xdr:rowOff>
    </xdr:to>
    <xdr:grpSp>
      <xdr:nvGrpSpPr>
        <xdr:cNvPr id="24" name="Group 121">
          <a:extLst>
            <a:ext uri="{FF2B5EF4-FFF2-40B4-BE49-F238E27FC236}">
              <a16:creationId xmlns:a16="http://schemas.microsoft.com/office/drawing/2014/main" id="{00000000-0008-0000-0400-000018000000}"/>
            </a:ext>
          </a:extLst>
        </xdr:cNvPr>
        <xdr:cNvGrpSpPr/>
      </xdr:nvGrpSpPr>
      <xdr:grpSpPr>
        <a:xfrm>
          <a:off x="15679379" y="2486025"/>
          <a:ext cx="14014563" cy="5902592"/>
          <a:chOff x="50303458" y="7016747"/>
          <a:chExt cx="12132918" cy="6199668"/>
        </a:xfrm>
      </xdr:grpSpPr>
      <xdr:grpSp>
        <xdr:nvGrpSpPr>
          <xdr:cNvPr id="25" name="Group 122">
            <a:extLst>
              <a:ext uri="{FF2B5EF4-FFF2-40B4-BE49-F238E27FC236}">
                <a16:creationId xmlns:a16="http://schemas.microsoft.com/office/drawing/2014/main" id="{00000000-0008-0000-0400-000019000000}"/>
              </a:ext>
            </a:extLst>
          </xdr:cNvPr>
          <xdr:cNvGrpSpPr/>
        </xdr:nvGrpSpPr>
        <xdr:grpSpPr>
          <a:xfrm>
            <a:off x="50303458" y="7016747"/>
            <a:ext cx="12132918" cy="5678788"/>
            <a:chOff x="57145583" y="6437312"/>
            <a:chExt cx="11850566" cy="5319918"/>
          </a:xfrm>
        </xdr:grpSpPr>
        <xdr:graphicFrame macro="">
          <xdr:nvGraphicFramePr>
            <xdr:cNvPr id="33" name="Chart 153">
              <a:extLst>
                <a:ext uri="{FF2B5EF4-FFF2-40B4-BE49-F238E27FC236}">
                  <a16:creationId xmlns:a16="http://schemas.microsoft.com/office/drawing/2014/main" id="{00000000-0008-0000-0400-000021000000}"/>
                </a:ext>
              </a:extLst>
            </xdr:cNvPr>
            <xdr:cNvGraphicFramePr>
              <a:graphicFrameLocks/>
            </xdr:cNvGraphicFramePr>
          </xdr:nvGraphicFramePr>
          <xdr:xfrm>
            <a:off x="57145583" y="6437312"/>
            <a:ext cx="11850566" cy="5319918"/>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34" name="Group 154">
              <a:extLst>
                <a:ext uri="{FF2B5EF4-FFF2-40B4-BE49-F238E27FC236}">
                  <a16:creationId xmlns:a16="http://schemas.microsoft.com/office/drawing/2014/main" id="{00000000-0008-0000-0400-000022000000}"/>
                </a:ext>
              </a:extLst>
            </xdr:cNvPr>
            <xdr:cNvGrpSpPr/>
          </xdr:nvGrpSpPr>
          <xdr:grpSpPr>
            <a:xfrm>
              <a:off x="57279513" y="6442727"/>
              <a:ext cx="410237" cy="5190423"/>
              <a:chOff x="57279513" y="6442727"/>
              <a:chExt cx="410237" cy="5190423"/>
            </a:xfrm>
          </xdr:grpSpPr>
          <xdr:sp macro="" textlink="">
            <xdr:nvSpPr>
              <xdr:cNvPr id="37" name="TextBox 157">
                <a:extLst>
                  <a:ext uri="{FF2B5EF4-FFF2-40B4-BE49-F238E27FC236}">
                    <a16:creationId xmlns:a16="http://schemas.microsoft.com/office/drawing/2014/main" id="{00000000-0008-0000-0400-000025000000}"/>
                  </a:ext>
                </a:extLst>
              </xdr:cNvPr>
              <xdr:cNvSpPr txBox="1"/>
            </xdr:nvSpPr>
            <xdr:spPr>
              <a:xfrm rot="16200000">
                <a:off x="56571726" y="7211501"/>
                <a:ext cx="1886798"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tx2"/>
                    </a:solidFill>
                  </a:rPr>
                  <a:t>Supply</a:t>
                </a:r>
                <a:r>
                  <a:rPr lang="en-GB" sz="1400" b="1" baseline="0">
                    <a:solidFill>
                      <a:schemeClr val="tx2"/>
                    </a:solidFill>
                  </a:rPr>
                  <a:t> side</a:t>
                </a:r>
                <a:endParaRPr lang="en-GB" sz="1400" b="1">
                  <a:solidFill>
                    <a:schemeClr val="tx2"/>
                  </a:solidFill>
                </a:endParaRPr>
              </a:p>
            </xdr:txBody>
          </xdr:sp>
          <xdr:sp macro="" textlink="">
            <xdr:nvSpPr>
              <xdr:cNvPr id="38" name="TextBox 158">
                <a:extLst>
                  <a:ext uri="{FF2B5EF4-FFF2-40B4-BE49-F238E27FC236}">
                    <a16:creationId xmlns:a16="http://schemas.microsoft.com/office/drawing/2014/main" id="{00000000-0008-0000-0400-000026000000}"/>
                  </a:ext>
                </a:extLst>
              </xdr:cNvPr>
              <xdr:cNvSpPr txBox="1"/>
            </xdr:nvSpPr>
            <xdr:spPr>
              <a:xfrm rot="16200000">
                <a:off x="56659746" y="9008451"/>
                <a:ext cx="1679458"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tx2"/>
                    </a:solidFill>
                  </a:rPr>
                  <a:t>Demand </a:t>
                </a:r>
                <a:r>
                  <a:rPr lang="en-GB" sz="1400" b="1" baseline="0">
                    <a:solidFill>
                      <a:schemeClr val="tx2"/>
                    </a:solidFill>
                  </a:rPr>
                  <a:t>side</a:t>
                </a:r>
                <a:endParaRPr lang="en-GB" sz="1400" b="1">
                  <a:solidFill>
                    <a:schemeClr val="tx2"/>
                  </a:solidFill>
                </a:endParaRPr>
              </a:p>
            </xdr:txBody>
          </xdr:sp>
          <xdr:sp macro="" textlink="">
            <xdr:nvSpPr>
              <xdr:cNvPr id="39" name="TextBox 159">
                <a:extLst>
                  <a:ext uri="{FF2B5EF4-FFF2-40B4-BE49-F238E27FC236}">
                    <a16:creationId xmlns:a16="http://schemas.microsoft.com/office/drawing/2014/main" id="{00000000-0008-0000-0400-000027000000}"/>
                  </a:ext>
                </a:extLst>
              </xdr:cNvPr>
              <xdr:cNvSpPr txBox="1"/>
            </xdr:nvSpPr>
            <xdr:spPr>
              <a:xfrm rot="16200000">
                <a:off x="56635142" y="10639530"/>
                <a:ext cx="1637991"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solidFill>
                      <a:schemeClr val="tx2"/>
                    </a:solidFill>
                  </a:rPr>
                  <a:t>Enabling environment</a:t>
                </a:r>
              </a:p>
            </xdr:txBody>
          </xdr:sp>
        </xdr:grpSp>
        <xdr:cxnSp macro="">
          <xdr:nvCxnSpPr>
            <xdr:cNvPr id="35" name="Straight Connector 155">
              <a:extLst>
                <a:ext uri="{FF2B5EF4-FFF2-40B4-BE49-F238E27FC236}">
                  <a16:creationId xmlns:a16="http://schemas.microsoft.com/office/drawing/2014/main" id="{00000000-0008-0000-0400-000023000000}"/>
                </a:ext>
              </a:extLst>
            </xdr:cNvPr>
            <xdr:cNvCxnSpPr/>
          </xdr:nvCxnSpPr>
          <xdr:spPr>
            <a:xfrm flipV="1">
              <a:off x="57299477" y="8388830"/>
              <a:ext cx="11411812" cy="1035"/>
            </a:xfrm>
            <a:prstGeom prst="line">
              <a:avLst/>
            </a:prstGeom>
            <a:ln>
              <a:solidFill>
                <a:schemeClr val="tx2"/>
              </a:solidFill>
            </a:ln>
          </xdr:spPr>
          <xdr:style>
            <a:lnRef idx="1">
              <a:schemeClr val="accent3"/>
            </a:lnRef>
            <a:fillRef idx="0">
              <a:schemeClr val="accent3"/>
            </a:fillRef>
            <a:effectRef idx="0">
              <a:schemeClr val="accent3"/>
            </a:effectRef>
            <a:fontRef idx="minor">
              <a:schemeClr val="tx1"/>
            </a:fontRef>
          </xdr:style>
        </xdr:cxnSp>
        <xdr:cxnSp macro="">
          <xdr:nvCxnSpPr>
            <xdr:cNvPr id="36" name="Straight Connector 156">
              <a:extLst>
                <a:ext uri="{FF2B5EF4-FFF2-40B4-BE49-F238E27FC236}">
                  <a16:creationId xmlns:a16="http://schemas.microsoft.com/office/drawing/2014/main" id="{00000000-0008-0000-0400-000024000000}"/>
                </a:ext>
              </a:extLst>
            </xdr:cNvPr>
            <xdr:cNvCxnSpPr/>
          </xdr:nvCxnSpPr>
          <xdr:spPr>
            <a:xfrm flipV="1">
              <a:off x="57279313" y="10008812"/>
              <a:ext cx="11411864" cy="171"/>
            </a:xfrm>
            <a:prstGeom prst="line">
              <a:avLst/>
            </a:prstGeom>
            <a:ln>
              <a:solidFill>
                <a:schemeClr val="tx2"/>
              </a:solidFill>
            </a:ln>
          </xdr:spPr>
          <xdr:style>
            <a:lnRef idx="1">
              <a:schemeClr val="accent3"/>
            </a:lnRef>
            <a:fillRef idx="0">
              <a:schemeClr val="accent3"/>
            </a:fillRef>
            <a:effectRef idx="0">
              <a:schemeClr val="accent3"/>
            </a:effectRef>
            <a:fontRef idx="minor">
              <a:schemeClr val="tx1"/>
            </a:fontRef>
          </xdr:style>
        </xdr:cxnSp>
      </xdr:grpSp>
      <xdr:grpSp>
        <xdr:nvGrpSpPr>
          <xdr:cNvPr id="26" name="Group 123">
            <a:extLst>
              <a:ext uri="{FF2B5EF4-FFF2-40B4-BE49-F238E27FC236}">
                <a16:creationId xmlns:a16="http://schemas.microsoft.com/office/drawing/2014/main" id="{00000000-0008-0000-0400-00001A000000}"/>
              </a:ext>
            </a:extLst>
          </xdr:cNvPr>
          <xdr:cNvGrpSpPr/>
        </xdr:nvGrpSpPr>
        <xdr:grpSpPr>
          <a:xfrm>
            <a:off x="50523596" y="12691643"/>
            <a:ext cx="11895335" cy="524772"/>
            <a:chOff x="28210229" y="14533144"/>
            <a:chExt cx="10413376" cy="524772"/>
          </a:xfrm>
        </xdr:grpSpPr>
        <xdr:sp macro="" textlink="">
          <xdr:nvSpPr>
            <xdr:cNvPr id="27" name="Textfeld 32">
              <a:extLst>
                <a:ext uri="{FF2B5EF4-FFF2-40B4-BE49-F238E27FC236}">
                  <a16:creationId xmlns:a16="http://schemas.microsoft.com/office/drawing/2014/main" id="{00000000-0008-0000-0400-00001B000000}"/>
                </a:ext>
              </a:extLst>
            </xdr:cNvPr>
            <xdr:cNvSpPr txBox="1"/>
          </xdr:nvSpPr>
          <xdr:spPr>
            <a:xfrm>
              <a:off x="28210229" y="14533146"/>
              <a:ext cx="1410728"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300" b="1">
                  <a:solidFill>
                    <a:schemeClr val="tx1">
                      <a:lumMod val="65000"/>
                      <a:lumOff val="35000"/>
                    </a:schemeClr>
                  </a:solidFill>
                </a:rPr>
                <a:t>Pre-Commercial</a:t>
              </a:r>
            </a:p>
            <a:p>
              <a:pPr algn="ctr"/>
              <a:r>
                <a:rPr lang="en-GB" sz="1300" b="1">
                  <a:solidFill>
                    <a:schemeClr val="tx1">
                      <a:lumMod val="65000"/>
                      <a:lumOff val="35000"/>
                    </a:schemeClr>
                  </a:solidFill>
                </a:rPr>
                <a:t>Phase 0 </a:t>
              </a:r>
            </a:p>
          </xdr:txBody>
        </xdr:sp>
        <xdr:sp macro="" textlink="">
          <xdr:nvSpPr>
            <xdr:cNvPr id="28" name="Textfeld 32">
              <a:extLst>
                <a:ext uri="{FF2B5EF4-FFF2-40B4-BE49-F238E27FC236}">
                  <a16:creationId xmlns:a16="http://schemas.microsoft.com/office/drawing/2014/main" id="{00000000-0008-0000-0400-00001C000000}"/>
                </a:ext>
              </a:extLst>
            </xdr:cNvPr>
            <xdr:cNvSpPr txBox="1"/>
          </xdr:nvSpPr>
          <xdr:spPr>
            <a:xfrm>
              <a:off x="29574544" y="14533147"/>
              <a:ext cx="2215239"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300" b="1">
                  <a:solidFill>
                    <a:schemeClr val="tx1">
                      <a:lumMod val="65000"/>
                      <a:lumOff val="35000"/>
                    </a:schemeClr>
                  </a:solidFill>
                </a:rPr>
                <a:t>Pioneering</a:t>
              </a:r>
            </a:p>
            <a:p>
              <a:pPr algn="ctr"/>
              <a:r>
                <a:rPr lang="en-GB" sz="1300" b="1">
                  <a:solidFill>
                    <a:schemeClr val="tx1">
                      <a:lumMod val="65000"/>
                      <a:lumOff val="35000"/>
                    </a:schemeClr>
                  </a:solidFill>
                </a:rPr>
                <a:t>Phase I</a:t>
              </a:r>
            </a:p>
          </xdr:txBody>
        </xdr:sp>
        <xdr:sp macro="" textlink="">
          <xdr:nvSpPr>
            <xdr:cNvPr id="29" name="Textfeld 32">
              <a:extLst>
                <a:ext uri="{FF2B5EF4-FFF2-40B4-BE49-F238E27FC236}">
                  <a16:creationId xmlns:a16="http://schemas.microsoft.com/office/drawing/2014/main" id="{00000000-0008-0000-0400-00001D000000}"/>
                </a:ext>
              </a:extLst>
            </xdr:cNvPr>
            <xdr:cNvSpPr txBox="1"/>
          </xdr:nvSpPr>
          <xdr:spPr>
            <a:xfrm>
              <a:off x="31746317" y="14533145"/>
              <a:ext cx="2097532"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65000"/>
                      <a:lumOff val="35000"/>
                    </a:schemeClr>
                  </a:solidFill>
                </a:rPr>
                <a:t>Expansion</a:t>
              </a:r>
              <a:endParaRPr lang="en-GB" sz="1300" b="1">
                <a:solidFill>
                  <a:schemeClr val="tx1">
                    <a:lumMod val="65000"/>
                    <a:lumOff val="35000"/>
                  </a:schemeClr>
                </a:solidFill>
              </a:endParaRPr>
            </a:p>
            <a:p>
              <a:pPr algn="ctr"/>
              <a:r>
                <a:rPr lang="en-GB" sz="1300" b="1">
                  <a:solidFill>
                    <a:schemeClr val="tx1">
                      <a:lumMod val="65000"/>
                      <a:lumOff val="35000"/>
                    </a:schemeClr>
                  </a:solidFill>
                </a:rPr>
                <a:t>Phase II</a:t>
              </a:r>
            </a:p>
          </xdr:txBody>
        </xdr:sp>
        <xdr:sp macro="" textlink="">
          <xdr:nvSpPr>
            <xdr:cNvPr id="30" name="Textfeld 32">
              <a:extLst>
                <a:ext uri="{FF2B5EF4-FFF2-40B4-BE49-F238E27FC236}">
                  <a16:creationId xmlns:a16="http://schemas.microsoft.com/office/drawing/2014/main" id="{00000000-0008-0000-0400-00001E000000}"/>
                </a:ext>
              </a:extLst>
            </xdr:cNvPr>
            <xdr:cNvSpPr txBox="1"/>
          </xdr:nvSpPr>
          <xdr:spPr>
            <a:xfrm>
              <a:off x="33843849" y="14533146"/>
              <a:ext cx="2246021"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65000"/>
                      <a:lumOff val="35000"/>
                    </a:schemeClr>
                  </a:solidFill>
                </a:rPr>
                <a:t>Maturity</a:t>
              </a:r>
              <a:endParaRPr lang="en-GB" sz="1300" b="1">
                <a:solidFill>
                  <a:schemeClr val="tx1">
                    <a:lumMod val="65000"/>
                    <a:lumOff val="35000"/>
                  </a:schemeClr>
                </a:solidFill>
              </a:endParaRPr>
            </a:p>
            <a:p>
              <a:pPr algn="ctr"/>
              <a:r>
                <a:rPr lang="en-GB" sz="1300" b="1">
                  <a:solidFill>
                    <a:schemeClr val="tx1">
                      <a:lumMod val="65000"/>
                      <a:lumOff val="35000"/>
                    </a:schemeClr>
                  </a:solidFill>
                </a:rPr>
                <a:t>Phase III</a:t>
              </a:r>
            </a:p>
          </xdr:txBody>
        </xdr:sp>
        <xdr:sp macro="" textlink="">
          <xdr:nvSpPr>
            <xdr:cNvPr id="31" name="Textfeld 32">
              <a:extLst>
                <a:ext uri="{FF2B5EF4-FFF2-40B4-BE49-F238E27FC236}">
                  <a16:creationId xmlns:a16="http://schemas.microsoft.com/office/drawing/2014/main" id="{00000000-0008-0000-0400-00001F000000}"/>
                </a:ext>
              </a:extLst>
            </xdr:cNvPr>
            <xdr:cNvSpPr txBox="1"/>
          </xdr:nvSpPr>
          <xdr:spPr>
            <a:xfrm>
              <a:off x="36086656" y="14533144"/>
              <a:ext cx="1265443"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65000"/>
                      <a:lumOff val="35000"/>
                    </a:schemeClr>
                  </a:solidFill>
                </a:rPr>
                <a:t>Saturation</a:t>
              </a:r>
            </a:p>
            <a:p>
              <a:pPr algn="ctr"/>
              <a:r>
                <a:rPr lang="en-US" sz="1300" b="1">
                  <a:solidFill>
                    <a:schemeClr val="tx1">
                      <a:lumMod val="65000"/>
                      <a:lumOff val="35000"/>
                    </a:schemeClr>
                  </a:solidFill>
                </a:rPr>
                <a:t>Phase IV</a:t>
              </a:r>
              <a:endParaRPr lang="en-GB" sz="1300" b="1">
                <a:solidFill>
                  <a:schemeClr val="tx1">
                    <a:lumMod val="65000"/>
                    <a:lumOff val="35000"/>
                  </a:schemeClr>
                </a:solidFill>
              </a:endParaRPr>
            </a:p>
          </xdr:txBody>
        </xdr:sp>
        <xdr:sp macro="" textlink="">
          <xdr:nvSpPr>
            <xdr:cNvPr id="32" name="Textfeld 32">
              <a:extLst>
                <a:ext uri="{FF2B5EF4-FFF2-40B4-BE49-F238E27FC236}">
                  <a16:creationId xmlns:a16="http://schemas.microsoft.com/office/drawing/2014/main" id="{00000000-0008-0000-0400-000020000000}"/>
                </a:ext>
              </a:extLst>
            </xdr:cNvPr>
            <xdr:cNvSpPr txBox="1"/>
          </xdr:nvSpPr>
          <xdr:spPr>
            <a:xfrm>
              <a:off x="37342057" y="14533146"/>
              <a:ext cx="1281548" cy="524769"/>
            </a:xfrm>
            <a:prstGeom prst="rect">
              <a:avLst/>
            </a:prstGeom>
            <a:solidFill>
              <a:sysClr val="window" lastClr="FFFFFF"/>
            </a:solidFill>
            <a:ln w="12700" cap="flat" cmpd="sng" algn="ctr">
              <a:no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300" b="1">
                  <a:solidFill>
                    <a:schemeClr val="tx1">
                      <a:lumMod val="65000"/>
                      <a:lumOff val="35000"/>
                    </a:schemeClr>
                  </a:solidFill>
                </a:rPr>
                <a:t>Degeneration</a:t>
              </a:r>
            </a:p>
            <a:p>
              <a:pPr algn="ctr"/>
              <a:r>
                <a:rPr lang="en-US" sz="1300" b="1">
                  <a:solidFill>
                    <a:schemeClr val="tx1">
                      <a:lumMod val="65000"/>
                      <a:lumOff val="35000"/>
                    </a:schemeClr>
                  </a:solidFill>
                </a:rPr>
                <a:t>Phase V</a:t>
              </a:r>
              <a:endParaRPr lang="en-GB" sz="1300" b="1">
                <a:solidFill>
                  <a:schemeClr val="tx1">
                    <a:lumMod val="65000"/>
                    <a:lumOff val="35000"/>
                  </a:schemeClr>
                </a:solidFill>
              </a:endParaRPr>
            </a:p>
          </xdr:txBody>
        </xdr:sp>
      </xdr:grpSp>
    </xdr:grpSp>
    <xdr:clientData/>
  </xdr:twoCellAnchor>
  <mc:AlternateContent xmlns:mc="http://schemas.openxmlformats.org/markup-compatibility/2006">
    <mc:Choice xmlns:a14="http://schemas.microsoft.com/office/drawing/2010/main" Requires="a14">
      <xdr:twoCellAnchor editAs="oneCell">
        <xdr:from>
          <xdr:col>48</xdr:col>
          <xdr:colOff>881063</xdr:colOff>
          <xdr:row>1</xdr:row>
          <xdr:rowOff>83184</xdr:rowOff>
        </xdr:from>
        <xdr:to>
          <xdr:col>51</xdr:col>
          <xdr:colOff>309307</xdr:colOff>
          <xdr:row>4</xdr:row>
          <xdr:rowOff>174480</xdr:rowOff>
        </xdr:to>
        <xdr:pic>
          <xdr:nvPicPr>
            <xdr:cNvPr id="68" name="Picture 12">
              <a:extLst>
                <a:ext uri="{FF2B5EF4-FFF2-40B4-BE49-F238E27FC236}">
                  <a16:creationId xmlns:a16="http://schemas.microsoft.com/office/drawing/2014/main" id="{00000000-0008-0000-0400-000044000000}"/>
                </a:ext>
              </a:extLst>
            </xdr:cNvPr>
            <xdr:cNvPicPr>
              <a:picLocks noChangeAspect="1" noChangeArrowheads="1"/>
              <a:extLst>
                <a:ext uri="{84589F7E-364E-4C9E-8A38-B11213B215E9}">
                  <a14:cameraTool cellRange="TechnologyLookup" spid="_x0000_s190306"/>
                </a:ext>
              </a:extLst>
            </xdr:cNvPicPr>
          </xdr:nvPicPr>
          <xdr:blipFill>
            <a:blip xmlns:r="http://schemas.openxmlformats.org/officeDocument/2006/relationships" r:embed="rId6"/>
            <a:srcRect/>
            <a:stretch>
              <a:fillRect/>
            </a:stretch>
          </xdr:blipFill>
          <xdr:spPr bwMode="auto">
            <a:xfrm>
              <a:off x="28503563" y="630872"/>
              <a:ext cx="2892963" cy="159148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42</xdr:col>
      <xdr:colOff>268549</xdr:colOff>
      <xdr:row>39</xdr:row>
      <xdr:rowOff>252054</xdr:rowOff>
    </xdr:from>
    <xdr:to>
      <xdr:col>42</xdr:col>
      <xdr:colOff>1547439</xdr:colOff>
      <xdr:row>43</xdr:row>
      <xdr:rowOff>35721</xdr:rowOff>
    </xdr:to>
    <xdr:pic>
      <xdr:nvPicPr>
        <xdr:cNvPr id="73" name="Grafik 72">
          <a:extLst>
            <a:ext uri="{FF2B5EF4-FFF2-40B4-BE49-F238E27FC236}">
              <a16:creationId xmlns:a16="http://schemas.microsoft.com/office/drawing/2014/main" id="{00000000-0008-0000-0400-000049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54476"/>
        <a:stretch/>
      </xdr:blipFill>
      <xdr:spPr bwMode="auto">
        <a:xfrm>
          <a:off x="22187955" y="13825179"/>
          <a:ext cx="1278890" cy="1355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1095375</xdr:colOff>
      <xdr:row>0</xdr:row>
      <xdr:rowOff>142876</xdr:rowOff>
    </xdr:from>
    <xdr:to>
      <xdr:col>31</xdr:col>
      <xdr:colOff>243227</xdr:colOff>
      <xdr:row>1</xdr:row>
      <xdr:rowOff>233363</xdr:rowOff>
    </xdr:to>
    <xdr:sp macro="" textlink="">
      <xdr:nvSpPr>
        <xdr:cNvPr id="79" name="Rechteck 78">
          <a:extLst>
            <a:ext uri="{FF2B5EF4-FFF2-40B4-BE49-F238E27FC236}">
              <a16:creationId xmlns:a16="http://schemas.microsoft.com/office/drawing/2014/main" id="{00000000-0008-0000-0400-00004F000000}"/>
            </a:ext>
          </a:extLst>
        </xdr:cNvPr>
        <xdr:cNvSpPr/>
      </xdr:nvSpPr>
      <xdr:spPr>
        <a:xfrm>
          <a:off x="11632406" y="142876"/>
          <a:ext cx="3934165" cy="63817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3200"/>
            <a:t>EAMD Scorecard</a:t>
          </a:r>
        </a:p>
      </xdr:txBody>
    </xdr:sp>
    <xdr:clientData/>
  </xdr:twoCellAnchor>
  <xdr:twoCellAnchor>
    <xdr:from>
      <xdr:col>35</xdr:col>
      <xdr:colOff>23813</xdr:colOff>
      <xdr:row>2</xdr:row>
      <xdr:rowOff>23812</xdr:rowOff>
    </xdr:from>
    <xdr:to>
      <xdr:col>38</xdr:col>
      <xdr:colOff>588510</xdr:colOff>
      <xdr:row>4</xdr:row>
      <xdr:rowOff>214312</xdr:rowOff>
    </xdr:to>
    <xdr:sp macro="" textlink="">
      <xdr:nvSpPr>
        <xdr:cNvPr id="80" name="Rechteck 79">
          <a:extLst>
            <a:ext uri="{FF2B5EF4-FFF2-40B4-BE49-F238E27FC236}">
              <a16:creationId xmlns:a16="http://schemas.microsoft.com/office/drawing/2014/main" id="{00000000-0008-0000-0400-000050000000}"/>
            </a:ext>
          </a:extLst>
        </xdr:cNvPr>
        <xdr:cNvSpPr/>
      </xdr:nvSpPr>
      <xdr:spPr>
        <a:xfrm>
          <a:off x="34551938" y="1428750"/>
          <a:ext cx="3755572" cy="833437"/>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3200"/>
            <a:t>EAMD Scorecard</a:t>
          </a:r>
        </a:p>
      </xdr:txBody>
    </xdr:sp>
    <xdr:clientData/>
  </xdr:twoCellAnchor>
  <xdr:twoCellAnchor>
    <xdr:from>
      <xdr:col>54</xdr:col>
      <xdr:colOff>271524</xdr:colOff>
      <xdr:row>5</xdr:row>
      <xdr:rowOff>142875</xdr:rowOff>
    </xdr:from>
    <xdr:to>
      <xdr:col>65</xdr:col>
      <xdr:colOff>635792</xdr:colOff>
      <xdr:row>29</xdr:row>
      <xdr:rowOff>-1</xdr:rowOff>
    </xdr:to>
    <xdr:grpSp>
      <xdr:nvGrpSpPr>
        <xdr:cNvPr id="104" name="Gruppieren 89">
          <a:extLst>
            <a:ext uri="{FF2B5EF4-FFF2-40B4-BE49-F238E27FC236}">
              <a16:creationId xmlns:a16="http://schemas.microsoft.com/office/drawing/2014/main" id="{BE4EC80A-68F8-429E-A6B2-49DFD8D0FCCA}"/>
            </a:ext>
          </a:extLst>
        </xdr:cNvPr>
        <xdr:cNvGrpSpPr/>
      </xdr:nvGrpSpPr>
      <xdr:grpSpPr>
        <a:xfrm>
          <a:off x="31196024" y="2603500"/>
          <a:ext cx="8746268" cy="6984999"/>
          <a:chOff x="20711978" y="2904343"/>
          <a:chExt cx="10797745" cy="8416353"/>
        </a:xfrm>
      </xdr:grpSpPr>
      <xdr:sp macro="" textlink="">
        <xdr:nvSpPr>
          <xdr:cNvPr id="105" name="Rechteck 90">
            <a:extLst>
              <a:ext uri="{FF2B5EF4-FFF2-40B4-BE49-F238E27FC236}">
                <a16:creationId xmlns:a16="http://schemas.microsoft.com/office/drawing/2014/main" id="{12443098-EA63-F650-CC24-CAF3C17ED930}"/>
              </a:ext>
            </a:extLst>
          </xdr:cNvPr>
          <xdr:cNvSpPr/>
        </xdr:nvSpPr>
        <xdr:spPr>
          <a:xfrm>
            <a:off x="20711978" y="2904343"/>
            <a:ext cx="10797745" cy="841635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106" name="Gruppieren 92">
            <a:extLst>
              <a:ext uri="{FF2B5EF4-FFF2-40B4-BE49-F238E27FC236}">
                <a16:creationId xmlns:a16="http://schemas.microsoft.com/office/drawing/2014/main" id="{245C9403-D4F8-8A78-FBB1-8D7DC26CF836}"/>
              </a:ext>
            </a:extLst>
          </xdr:cNvPr>
          <xdr:cNvGrpSpPr/>
        </xdr:nvGrpSpPr>
        <xdr:grpSpPr>
          <a:xfrm>
            <a:off x="23207805" y="4280057"/>
            <a:ext cx="5806090" cy="5649066"/>
            <a:chOff x="24439689" y="4044221"/>
            <a:chExt cx="5806090" cy="5649066"/>
          </a:xfrm>
        </xdr:grpSpPr>
        <xdr:sp macro="" textlink="">
          <xdr:nvSpPr>
            <xdr:cNvPr id="107" name="Ellipse 93">
              <a:extLst>
                <a:ext uri="{FF2B5EF4-FFF2-40B4-BE49-F238E27FC236}">
                  <a16:creationId xmlns:a16="http://schemas.microsoft.com/office/drawing/2014/main" id="{7CEB82EC-1C8D-C8DA-F9B9-E9D373EADAA0}"/>
                </a:ext>
              </a:extLst>
            </xdr:cNvPr>
            <xdr:cNvSpPr/>
          </xdr:nvSpPr>
          <xdr:spPr>
            <a:xfrm>
              <a:off x="24439689" y="4044221"/>
              <a:ext cx="5806090" cy="5649066"/>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8" name="Ellipse 94">
              <a:extLst>
                <a:ext uri="{FF2B5EF4-FFF2-40B4-BE49-F238E27FC236}">
                  <a16:creationId xmlns:a16="http://schemas.microsoft.com/office/drawing/2014/main" id="{01804930-A0F1-7DE7-4A07-0BBAAFDA59D0}"/>
                </a:ext>
              </a:extLst>
            </xdr:cNvPr>
            <xdr:cNvSpPr/>
          </xdr:nvSpPr>
          <xdr:spPr>
            <a:xfrm>
              <a:off x="25173584" y="4757051"/>
              <a:ext cx="4338302" cy="4223408"/>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9" name="Ellipse 95">
              <a:extLst>
                <a:ext uri="{FF2B5EF4-FFF2-40B4-BE49-F238E27FC236}">
                  <a16:creationId xmlns:a16="http://schemas.microsoft.com/office/drawing/2014/main" id="{182EA1DF-CCA4-902B-85DF-F152E4713E75}"/>
                </a:ext>
              </a:extLst>
            </xdr:cNvPr>
            <xdr:cNvSpPr/>
          </xdr:nvSpPr>
          <xdr:spPr>
            <a:xfrm>
              <a:off x="25937290" y="5456527"/>
              <a:ext cx="2810888" cy="2824455"/>
            </a:xfrm>
            <a:prstGeom prst="ellips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0" name="Ellipse 96">
              <a:extLst>
                <a:ext uri="{FF2B5EF4-FFF2-40B4-BE49-F238E27FC236}">
                  <a16:creationId xmlns:a16="http://schemas.microsoft.com/office/drawing/2014/main" id="{E60A4247-157E-E6B8-8246-834C1377805F}"/>
                </a:ext>
              </a:extLst>
            </xdr:cNvPr>
            <xdr:cNvSpPr/>
          </xdr:nvSpPr>
          <xdr:spPr>
            <a:xfrm>
              <a:off x="26683897" y="6206801"/>
              <a:ext cx="1317674" cy="1323906"/>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grpSp>
    <xdr:clientData/>
  </xdr:twoCellAnchor>
  <xdr:twoCellAnchor>
    <xdr:from>
      <xdr:col>54</xdr:col>
      <xdr:colOff>247648</xdr:colOff>
      <xdr:row>5</xdr:row>
      <xdr:rowOff>187378</xdr:rowOff>
    </xdr:from>
    <xdr:to>
      <xdr:col>66</xdr:col>
      <xdr:colOff>590549</xdr:colOff>
      <xdr:row>28</xdr:row>
      <xdr:rowOff>333376</xdr:rowOff>
    </xdr:to>
    <xdr:graphicFrame macro="">
      <xdr:nvGraphicFramePr>
        <xdr:cNvPr id="111" name="Diagramm 139">
          <a:extLst>
            <a:ext uri="{FF2B5EF4-FFF2-40B4-BE49-F238E27FC236}">
              <a16:creationId xmlns:a16="http://schemas.microsoft.com/office/drawing/2014/main" id="{13AD8FE7-1C6B-44C0-801E-CC3F7D5ED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54</xdr:col>
      <xdr:colOff>472139</xdr:colOff>
      <xdr:row>27</xdr:row>
      <xdr:rowOff>209550</xdr:rowOff>
    </xdr:from>
    <xdr:to>
      <xdr:col>60</xdr:col>
      <xdr:colOff>714375</xdr:colOff>
      <xdr:row>28</xdr:row>
      <xdr:rowOff>80124</xdr:rowOff>
    </xdr:to>
    <xdr:grpSp>
      <xdr:nvGrpSpPr>
        <xdr:cNvPr id="112" name="Gruppieren 140">
          <a:extLst>
            <a:ext uri="{FF2B5EF4-FFF2-40B4-BE49-F238E27FC236}">
              <a16:creationId xmlns:a16="http://schemas.microsoft.com/office/drawing/2014/main" id="{17A3A8CF-ED21-4B67-A2F6-4267E3909581}"/>
            </a:ext>
          </a:extLst>
        </xdr:cNvPr>
        <xdr:cNvGrpSpPr/>
      </xdr:nvGrpSpPr>
      <xdr:grpSpPr>
        <a:xfrm>
          <a:off x="31396639" y="9004300"/>
          <a:ext cx="4814236" cy="267449"/>
          <a:chOff x="21236985" y="10682881"/>
          <a:chExt cx="4824122" cy="264560"/>
        </a:xfrm>
      </xdr:grpSpPr>
      <xdr:grpSp>
        <xdr:nvGrpSpPr>
          <xdr:cNvPr id="113" name="Gruppieren 141">
            <a:extLst>
              <a:ext uri="{FF2B5EF4-FFF2-40B4-BE49-F238E27FC236}">
                <a16:creationId xmlns:a16="http://schemas.microsoft.com/office/drawing/2014/main" id="{517E8793-D630-C77F-92B5-A724F2E45736}"/>
              </a:ext>
            </a:extLst>
          </xdr:cNvPr>
          <xdr:cNvGrpSpPr/>
        </xdr:nvGrpSpPr>
        <xdr:grpSpPr>
          <a:xfrm>
            <a:off x="21236985" y="10682881"/>
            <a:ext cx="1459951" cy="264560"/>
            <a:chOff x="21236985" y="10682881"/>
            <a:chExt cx="1459951" cy="264560"/>
          </a:xfrm>
        </xdr:grpSpPr>
        <xdr:sp macro="" textlink="">
          <xdr:nvSpPr>
            <xdr:cNvPr id="123" name="Rechteck 160">
              <a:extLst>
                <a:ext uri="{FF2B5EF4-FFF2-40B4-BE49-F238E27FC236}">
                  <a16:creationId xmlns:a16="http://schemas.microsoft.com/office/drawing/2014/main" id="{A6D4FC0D-0DD0-387D-3B66-D70973FC0CFD}"/>
                </a:ext>
              </a:extLst>
            </xdr:cNvPr>
            <xdr:cNvSpPr/>
          </xdr:nvSpPr>
          <xdr:spPr>
            <a:xfrm>
              <a:off x="21236985" y="10721473"/>
              <a:ext cx="371631" cy="187377"/>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4" name="Textfeld 161">
              <a:extLst>
                <a:ext uri="{FF2B5EF4-FFF2-40B4-BE49-F238E27FC236}">
                  <a16:creationId xmlns:a16="http://schemas.microsoft.com/office/drawing/2014/main" id="{B73F571D-7B1B-1C68-1520-688342642158}"/>
                </a:ext>
              </a:extLst>
            </xdr:cNvPr>
            <xdr:cNvSpPr txBox="1"/>
          </xdr:nvSpPr>
          <xdr:spPr>
            <a:xfrm>
              <a:off x="21590479" y="10682881"/>
              <a:ext cx="110645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Pre-Commercial</a:t>
              </a:r>
            </a:p>
          </xdr:txBody>
        </xdr:sp>
      </xdr:grpSp>
      <xdr:grpSp>
        <xdr:nvGrpSpPr>
          <xdr:cNvPr id="114" name="Gruppieren 142">
            <a:extLst>
              <a:ext uri="{FF2B5EF4-FFF2-40B4-BE49-F238E27FC236}">
                <a16:creationId xmlns:a16="http://schemas.microsoft.com/office/drawing/2014/main" id="{0AE47A5B-5891-16A3-16E1-7BB31F38C9F1}"/>
              </a:ext>
            </a:extLst>
          </xdr:cNvPr>
          <xdr:cNvGrpSpPr/>
        </xdr:nvGrpSpPr>
        <xdr:grpSpPr>
          <a:xfrm>
            <a:off x="22713366" y="10682881"/>
            <a:ext cx="1154483" cy="264560"/>
            <a:chOff x="22699789" y="10682881"/>
            <a:chExt cx="1154483" cy="264560"/>
          </a:xfrm>
        </xdr:grpSpPr>
        <xdr:sp macro="" textlink="">
          <xdr:nvSpPr>
            <xdr:cNvPr id="121" name="Rechteck 149">
              <a:extLst>
                <a:ext uri="{FF2B5EF4-FFF2-40B4-BE49-F238E27FC236}">
                  <a16:creationId xmlns:a16="http://schemas.microsoft.com/office/drawing/2014/main" id="{CB5A9DBE-8C44-16B4-8331-B88AF1E5CBDC}"/>
                </a:ext>
              </a:extLst>
            </xdr:cNvPr>
            <xdr:cNvSpPr/>
          </xdr:nvSpPr>
          <xdr:spPr>
            <a:xfrm>
              <a:off x="22699789" y="10721473"/>
              <a:ext cx="371631" cy="18737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2" name="Textfeld 150">
              <a:extLst>
                <a:ext uri="{FF2B5EF4-FFF2-40B4-BE49-F238E27FC236}">
                  <a16:creationId xmlns:a16="http://schemas.microsoft.com/office/drawing/2014/main" id="{5D12EECA-48A9-DC60-EDB3-2609D019939F}"/>
                </a:ext>
              </a:extLst>
            </xdr:cNvPr>
            <xdr:cNvSpPr txBox="1"/>
          </xdr:nvSpPr>
          <xdr:spPr>
            <a:xfrm>
              <a:off x="23053283" y="10682881"/>
              <a:ext cx="80098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Pioneering</a:t>
              </a:r>
            </a:p>
          </xdr:txBody>
        </xdr:sp>
      </xdr:grpSp>
      <xdr:grpSp>
        <xdr:nvGrpSpPr>
          <xdr:cNvPr id="115" name="Gruppieren 143">
            <a:extLst>
              <a:ext uri="{FF2B5EF4-FFF2-40B4-BE49-F238E27FC236}">
                <a16:creationId xmlns:a16="http://schemas.microsoft.com/office/drawing/2014/main" id="{8D88D11A-6C8C-DC45-C367-1567D832FE17}"/>
              </a:ext>
            </a:extLst>
          </xdr:cNvPr>
          <xdr:cNvGrpSpPr/>
        </xdr:nvGrpSpPr>
        <xdr:grpSpPr>
          <a:xfrm>
            <a:off x="25020694" y="10682881"/>
            <a:ext cx="1040413" cy="264560"/>
            <a:chOff x="25020694" y="10682881"/>
            <a:chExt cx="1040413" cy="264560"/>
          </a:xfrm>
        </xdr:grpSpPr>
        <xdr:sp macro="" textlink="">
          <xdr:nvSpPr>
            <xdr:cNvPr id="119" name="Rechteck 147">
              <a:extLst>
                <a:ext uri="{FF2B5EF4-FFF2-40B4-BE49-F238E27FC236}">
                  <a16:creationId xmlns:a16="http://schemas.microsoft.com/office/drawing/2014/main" id="{12EAE432-2EAB-7490-27AB-95588CB69365}"/>
                </a:ext>
              </a:extLst>
            </xdr:cNvPr>
            <xdr:cNvSpPr/>
          </xdr:nvSpPr>
          <xdr:spPr>
            <a:xfrm>
              <a:off x="25020694" y="10721473"/>
              <a:ext cx="371631" cy="187377"/>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0" name="Textfeld 148">
              <a:extLst>
                <a:ext uri="{FF2B5EF4-FFF2-40B4-BE49-F238E27FC236}">
                  <a16:creationId xmlns:a16="http://schemas.microsoft.com/office/drawing/2014/main" id="{0B3270B1-4E58-9A91-997D-D01F9751ABF8}"/>
                </a:ext>
              </a:extLst>
            </xdr:cNvPr>
            <xdr:cNvSpPr txBox="1"/>
          </xdr:nvSpPr>
          <xdr:spPr>
            <a:xfrm>
              <a:off x="25374188" y="10682881"/>
              <a:ext cx="6869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Maturity</a:t>
              </a:r>
            </a:p>
          </xdr:txBody>
        </xdr:sp>
      </xdr:grpSp>
      <xdr:grpSp>
        <xdr:nvGrpSpPr>
          <xdr:cNvPr id="116" name="Gruppieren 144">
            <a:extLst>
              <a:ext uri="{FF2B5EF4-FFF2-40B4-BE49-F238E27FC236}">
                <a16:creationId xmlns:a16="http://schemas.microsoft.com/office/drawing/2014/main" id="{9E48A576-1662-A564-21E7-58D6813C7331}"/>
              </a:ext>
            </a:extLst>
          </xdr:cNvPr>
          <xdr:cNvGrpSpPr/>
        </xdr:nvGrpSpPr>
        <xdr:grpSpPr>
          <a:xfrm>
            <a:off x="23884279" y="10682881"/>
            <a:ext cx="1119986" cy="264560"/>
            <a:chOff x="23866488" y="10682881"/>
            <a:chExt cx="1119986" cy="264560"/>
          </a:xfrm>
        </xdr:grpSpPr>
        <xdr:sp macro="" textlink="">
          <xdr:nvSpPr>
            <xdr:cNvPr id="117" name="Rechteck 145">
              <a:extLst>
                <a:ext uri="{FF2B5EF4-FFF2-40B4-BE49-F238E27FC236}">
                  <a16:creationId xmlns:a16="http://schemas.microsoft.com/office/drawing/2014/main" id="{359BEE43-C3DA-1C9F-35B2-554D0100927F}"/>
                </a:ext>
              </a:extLst>
            </xdr:cNvPr>
            <xdr:cNvSpPr/>
          </xdr:nvSpPr>
          <xdr:spPr>
            <a:xfrm>
              <a:off x="23866488" y="10721473"/>
              <a:ext cx="371631" cy="187377"/>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8" name="Textfeld 146">
              <a:extLst>
                <a:ext uri="{FF2B5EF4-FFF2-40B4-BE49-F238E27FC236}">
                  <a16:creationId xmlns:a16="http://schemas.microsoft.com/office/drawing/2014/main" id="{4EDA71BA-51EE-3D32-1E3D-CEB9A16EBFC5}"/>
                </a:ext>
              </a:extLst>
            </xdr:cNvPr>
            <xdr:cNvSpPr txBox="1"/>
          </xdr:nvSpPr>
          <xdr:spPr>
            <a:xfrm>
              <a:off x="24219982" y="10682881"/>
              <a:ext cx="7664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Expansion</a:t>
              </a:r>
            </a:p>
          </xdr:txBody>
        </xdr:sp>
      </xdr:grpSp>
    </xdr:grpSp>
    <xdr:clientData/>
  </xdr:twoCellAnchor>
  <mc:AlternateContent xmlns:mc="http://schemas.openxmlformats.org/markup-compatibility/2006">
    <mc:Choice xmlns:a14="http://schemas.microsoft.com/office/drawing/2010/main" Requires="a14">
      <xdr:twoCellAnchor editAs="oneCell">
        <xdr:from>
          <xdr:col>64</xdr:col>
          <xdr:colOff>392906</xdr:colOff>
          <xdr:row>5</xdr:row>
          <xdr:rowOff>293901</xdr:rowOff>
        </xdr:from>
        <xdr:to>
          <xdr:col>65</xdr:col>
          <xdr:colOff>737247</xdr:colOff>
          <xdr:row>8</xdr:row>
          <xdr:rowOff>256646</xdr:rowOff>
        </xdr:to>
        <xdr:pic>
          <xdr:nvPicPr>
            <xdr:cNvPr id="127" name="Picture 12">
              <a:extLst>
                <a:ext uri="{FF2B5EF4-FFF2-40B4-BE49-F238E27FC236}">
                  <a16:creationId xmlns:a16="http://schemas.microsoft.com/office/drawing/2014/main" id="{74DDE8B2-9817-4215-B0B2-9C3E2CE5F62C}"/>
                </a:ext>
              </a:extLst>
            </xdr:cNvPr>
            <xdr:cNvPicPr>
              <a:picLocks noChangeAspect="1" noChangeArrowheads="1"/>
              <a:extLst>
                <a:ext uri="{84589F7E-364E-4C9E-8A38-B11213B215E9}">
                  <a14:cameraTool cellRange="TechnologyLookup" spid="_x0000_s190307"/>
                </a:ext>
              </a:extLst>
            </xdr:cNvPicPr>
          </xdr:nvPicPr>
          <xdr:blipFill rotWithShape="1">
            <a:blip xmlns:r="http://schemas.openxmlformats.org/officeDocument/2006/relationships" r:embed="rId6"/>
            <a:srcRect l="14188" r="16123"/>
            <a:stretch>
              <a:fillRect/>
            </a:stretch>
          </xdr:blipFill>
          <xdr:spPr bwMode="auto">
            <a:xfrm>
              <a:off x="38957250" y="2782307"/>
              <a:ext cx="1106341" cy="91524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42</xdr:col>
      <xdr:colOff>1726400</xdr:colOff>
      <xdr:row>39</xdr:row>
      <xdr:rowOff>285753</xdr:rowOff>
    </xdr:from>
    <xdr:to>
      <xdr:col>44</xdr:col>
      <xdr:colOff>166680</xdr:colOff>
      <xdr:row>43</xdr:row>
      <xdr:rowOff>283762</xdr:rowOff>
    </xdr:to>
    <xdr:pic>
      <xdr:nvPicPr>
        <xdr:cNvPr id="103" name="Grafik 72">
          <a:extLst>
            <a:ext uri="{FF2B5EF4-FFF2-40B4-BE49-F238E27FC236}">
              <a16:creationId xmlns:a16="http://schemas.microsoft.com/office/drawing/2014/main" id="{6B347A9C-8AD3-466B-9BA3-7503718EA15C}"/>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 t="47045" r="1316"/>
        <a:stretch/>
      </xdr:blipFill>
      <xdr:spPr bwMode="auto">
        <a:xfrm>
          <a:off x="23645806" y="13858878"/>
          <a:ext cx="1262062" cy="1569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123825</xdr:colOff>
      <xdr:row>4</xdr:row>
      <xdr:rowOff>390525</xdr:rowOff>
    </xdr:from>
    <xdr:to>
      <xdr:col>27</xdr:col>
      <xdr:colOff>1143000</xdr:colOff>
      <xdr:row>8</xdr:row>
      <xdr:rowOff>285750</xdr:rowOff>
    </xdr:to>
    <xdr:sp macro="" textlink="">
      <xdr:nvSpPr>
        <xdr:cNvPr id="166535" name="AutoShape 6791">
          <a:extLst>
            <a:ext uri="{FF2B5EF4-FFF2-40B4-BE49-F238E27FC236}">
              <a16:creationId xmlns:a16="http://schemas.microsoft.com/office/drawing/2014/main" id="{ECED171D-8688-9D98-C84D-A29FA6B6496E}"/>
            </a:ext>
          </a:extLst>
        </xdr:cNvPr>
        <xdr:cNvSpPr>
          <a:spLocks noChangeAspect="1" noChangeArrowheads="1"/>
        </xdr:cNvSpPr>
      </xdr:nvSpPr>
      <xdr:spPr bwMode="auto">
        <a:xfrm>
          <a:off x="12544425" y="2419350"/>
          <a:ext cx="1323975" cy="1304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c:userShapes xmlns:c="http://schemas.openxmlformats.org/drawingml/2006/chart">
  <cdr:relSizeAnchor xmlns:cdr="http://schemas.openxmlformats.org/drawingml/2006/chartDrawing">
    <cdr:from>
      <cdr:x>0.39935</cdr:x>
      <cdr:y>0.05388</cdr:y>
    </cdr:from>
    <cdr:to>
      <cdr:x>0.46461</cdr:x>
      <cdr:y>0.49506</cdr:y>
    </cdr:to>
    <cdr:cxnSp macro="">
      <cdr:nvCxnSpPr>
        <cdr:cNvPr id="6" name="Gerader Verbinder 5">
          <a:extLst xmlns:a="http://schemas.openxmlformats.org/drawingml/2006/main">
            <a:ext uri="{FF2B5EF4-FFF2-40B4-BE49-F238E27FC236}">
              <a16:creationId xmlns:a16="http://schemas.microsoft.com/office/drawing/2014/main" id="{847A6CD8-F4C3-4BC8-A6E5-2D54AAC7AA6E}"/>
            </a:ext>
          </a:extLst>
        </cdr:cNvPr>
        <cdr:cNvCxnSpPr/>
      </cdr:nvCxnSpPr>
      <cdr:spPr>
        <a:xfrm xmlns:a="http://schemas.openxmlformats.org/drawingml/2006/main" flipH="1" flipV="1">
          <a:off x="3788570" y="372216"/>
          <a:ext cx="619125" cy="3048000"/>
        </a:xfrm>
        <a:prstGeom xmlns:a="http://schemas.openxmlformats.org/drawingml/2006/main" prst="line">
          <a:avLst/>
        </a:prstGeom>
        <a:ln xmlns:a="http://schemas.openxmlformats.org/drawingml/2006/main" w="28575">
          <a:solidFill>
            <a:srgbClr val="00B0F0">
              <a:alpha val="77647"/>
            </a:srgb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0.4621</cdr:x>
      <cdr:y>0.49506</cdr:y>
    </cdr:from>
    <cdr:to>
      <cdr:x>0.7244</cdr:x>
      <cdr:y>0.63465</cdr:y>
    </cdr:to>
    <cdr:cxnSp macro="">
      <cdr:nvCxnSpPr>
        <cdr:cNvPr id="7" name="Gerader Verbinder 6">
          <a:extLst xmlns:a="http://schemas.openxmlformats.org/drawingml/2006/main">
            <a:ext uri="{FF2B5EF4-FFF2-40B4-BE49-F238E27FC236}">
              <a16:creationId xmlns:a16="http://schemas.microsoft.com/office/drawing/2014/main" id="{C3969DFA-A75C-4DFF-BEFF-D83E1775CFBD}"/>
            </a:ext>
          </a:extLst>
        </cdr:cNvPr>
        <cdr:cNvCxnSpPr/>
      </cdr:nvCxnSpPr>
      <cdr:spPr>
        <a:xfrm xmlns:a="http://schemas.openxmlformats.org/drawingml/2006/main" flipH="1" flipV="1">
          <a:off x="4383883" y="3420216"/>
          <a:ext cx="2488406" cy="964406"/>
        </a:xfrm>
        <a:prstGeom xmlns:a="http://schemas.openxmlformats.org/drawingml/2006/main" prst="line">
          <a:avLst/>
        </a:prstGeom>
        <a:ln xmlns:a="http://schemas.openxmlformats.org/drawingml/2006/main" w="28575">
          <a:solidFill>
            <a:srgbClr val="00B0F0">
              <a:alpha val="78000"/>
            </a:srgb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0.16215</cdr:x>
      <cdr:y>0.50023</cdr:y>
    </cdr:from>
    <cdr:to>
      <cdr:x>0.45708</cdr:x>
      <cdr:y>0.64154</cdr:y>
    </cdr:to>
    <cdr:cxnSp macro="">
      <cdr:nvCxnSpPr>
        <cdr:cNvPr id="8" name="Gerader Verbinder 7">
          <a:extLst xmlns:a="http://schemas.openxmlformats.org/drawingml/2006/main">
            <a:ext uri="{FF2B5EF4-FFF2-40B4-BE49-F238E27FC236}">
              <a16:creationId xmlns:a16="http://schemas.microsoft.com/office/drawing/2014/main" id="{7473105D-A844-452E-BE56-DC402905AB49}"/>
            </a:ext>
          </a:extLst>
        </cdr:cNvPr>
        <cdr:cNvCxnSpPr/>
      </cdr:nvCxnSpPr>
      <cdr:spPr>
        <a:xfrm xmlns:a="http://schemas.openxmlformats.org/drawingml/2006/main" flipV="1">
          <a:off x="1538289" y="3455935"/>
          <a:ext cx="2797969" cy="976312"/>
        </a:xfrm>
        <a:prstGeom xmlns:a="http://schemas.openxmlformats.org/drawingml/2006/main" prst="line">
          <a:avLst/>
        </a:prstGeom>
        <a:ln xmlns:a="http://schemas.openxmlformats.org/drawingml/2006/main" w="28575">
          <a:solidFill>
            <a:srgbClr val="00B0F0">
              <a:alpha val="78000"/>
            </a:srgb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0.08677</cdr:x>
      <cdr:y>0.08812</cdr:y>
    </cdr:from>
    <cdr:to>
      <cdr:x>0.14889</cdr:x>
      <cdr:y>0.29317</cdr:y>
    </cdr:to>
    <cdr:sp macro="" textlink="'Diagram Data'!$T$3">
      <cdr:nvSpPr>
        <cdr:cNvPr id="3" name="Flowchart: Punched Tape 6"/>
        <cdr:cNvSpPr/>
      </cdr:nvSpPr>
      <cdr:spPr>
        <a:xfrm xmlns:a="http://schemas.openxmlformats.org/drawingml/2006/main" rot="18712352">
          <a:off x="441930" y="1271684"/>
          <a:ext cx="1739633" cy="691524"/>
        </a:xfrm>
        <a:prstGeom xmlns:a="http://schemas.openxmlformats.org/drawingml/2006/main" prst="flowChartPunchedTap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1E7E6D30-33F8-4A14-84A1-CB1353127154}" type="TxLink">
            <a:rPr lang="en-US" sz="1400" b="1" i="0" u="none" strike="noStrike">
              <a:solidFill>
                <a:srgbClr val="00B0F0"/>
              </a:solidFill>
              <a:latin typeface="Calibri"/>
              <a:ea typeface="+mn-ea"/>
              <a:cs typeface="Calibri"/>
            </a:rPr>
            <a:pPr marL="0" indent="0" algn="ctr"/>
            <a:t>Enabling environment</a:t>
          </a:fld>
          <a:endParaRPr lang="en-GB" sz="1400" b="1" i="0" u="none" strike="noStrike">
            <a:solidFill>
              <a:srgbClr val="00B0F0"/>
            </a:solidFill>
            <a:latin typeface="Calibri"/>
            <a:ea typeface="+mn-ea"/>
            <a:cs typeface="Calibri"/>
          </a:endParaRPr>
        </a:p>
      </cdr:txBody>
    </cdr:sp>
  </cdr:relSizeAnchor>
  <cdr:relSizeAnchor xmlns:cdr="http://schemas.openxmlformats.org/drawingml/2006/chartDrawing">
    <cdr:from>
      <cdr:x>0.80667</cdr:x>
      <cdr:y>0.07748</cdr:y>
    </cdr:from>
    <cdr:to>
      <cdr:x>0.8651</cdr:x>
      <cdr:y>0.27424</cdr:y>
    </cdr:to>
    <cdr:sp macro="" textlink="'Diagram Data'!$T$5">
      <cdr:nvSpPr>
        <cdr:cNvPr id="4" name="Flowchart: Punched Tape 7"/>
        <cdr:cNvSpPr/>
      </cdr:nvSpPr>
      <cdr:spPr>
        <a:xfrm xmlns:a="http://schemas.openxmlformats.org/drawingml/2006/main" rot="2975556">
          <a:off x="8470532" y="1166761"/>
          <a:ext cx="1669278" cy="650447"/>
        </a:xfrm>
        <a:prstGeom xmlns:a="http://schemas.openxmlformats.org/drawingml/2006/main" prst="flowChartPunchedTap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3085A5BB-A1F5-444A-BC51-6FC8DF316B74}" type="TxLink">
            <a:rPr lang="en-US" sz="1400" b="1" i="0" u="none" strike="noStrike">
              <a:solidFill>
                <a:srgbClr val="00B0F0"/>
              </a:solidFill>
              <a:latin typeface="Calibri"/>
              <a:ea typeface="+mn-ea"/>
              <a:cs typeface="Calibri"/>
            </a:rPr>
            <a:pPr marL="0" indent="0" algn="ctr"/>
            <a:t>Supply Side</a:t>
          </a:fld>
          <a:endParaRPr lang="en-GB" sz="1400" b="1" i="0" u="none" strike="noStrike">
            <a:solidFill>
              <a:srgbClr val="00B0F0"/>
            </a:solidFill>
            <a:latin typeface="Calibri"/>
            <a:ea typeface="+mn-ea"/>
            <a:cs typeface="Calibri"/>
          </a:endParaRPr>
        </a:p>
      </cdr:txBody>
    </cdr:sp>
  </cdr:relSizeAnchor>
  <cdr:relSizeAnchor xmlns:cdr="http://schemas.openxmlformats.org/drawingml/2006/chartDrawing">
    <cdr:from>
      <cdr:x>0.02544</cdr:x>
      <cdr:y>0.7744</cdr:y>
    </cdr:from>
    <cdr:to>
      <cdr:x>0.20409</cdr:x>
      <cdr:y>0.85525</cdr:y>
    </cdr:to>
    <cdr:sp macro="" textlink="'Diagram Data'!$T$4">
      <cdr:nvSpPr>
        <cdr:cNvPr id="5" name="Flowchart: Punched Tape 9"/>
        <cdr:cNvSpPr/>
      </cdr:nvSpPr>
      <cdr:spPr>
        <a:xfrm xmlns:a="http://schemas.openxmlformats.org/drawingml/2006/main" rot="2539948">
          <a:off x="283189" y="6569998"/>
          <a:ext cx="1988716" cy="685926"/>
        </a:xfrm>
        <a:prstGeom xmlns:a="http://schemas.openxmlformats.org/drawingml/2006/main" prst="flowChartPunchedTap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01AFC49B-6A7D-4006-8DC8-600AAFD801CC}" type="TxLink">
            <a:rPr lang="en-US" sz="1400" b="1" i="0" u="none" strike="noStrike">
              <a:solidFill>
                <a:srgbClr val="00B0F0"/>
              </a:solidFill>
              <a:latin typeface="Calibri"/>
              <a:ea typeface="+mn-ea"/>
              <a:cs typeface="Calibri"/>
            </a:rPr>
            <a:pPr marL="0" indent="0" algn="ctr"/>
            <a:t>Demand side</a:t>
          </a:fld>
          <a:endParaRPr lang="en-GB" sz="1400" b="1" i="0" u="none" strike="noStrike">
            <a:solidFill>
              <a:srgbClr val="00B0F0"/>
            </a:solidFill>
            <a:latin typeface="Calibri"/>
            <a:ea typeface="+mn-ea"/>
            <a:cs typeface="Calibri"/>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theme="6"/>
    <pageSetUpPr fitToPage="1"/>
  </sheetPr>
  <dimension ref="A1:N74"/>
  <sheetViews>
    <sheetView showGridLines="0" tabSelected="1" zoomScale="80" zoomScaleNormal="80" workbookViewId="0">
      <selection activeCell="H67" sqref="H67"/>
    </sheetView>
  </sheetViews>
  <sheetFormatPr defaultColWidth="11.42578125" defaultRowHeight="12.75" x14ac:dyDescent="0.2"/>
  <cols>
    <col min="1" max="2" width="5" style="53" customWidth="1"/>
    <col min="3" max="3" width="16.42578125" style="53" customWidth="1"/>
    <col min="4" max="4" width="20.28515625" style="53" customWidth="1"/>
    <col min="5" max="5" width="18.28515625" style="53" customWidth="1"/>
    <col min="6" max="6" width="20.28515625" style="53" customWidth="1"/>
    <col min="7" max="8" width="11.7109375" style="53" customWidth="1"/>
    <col min="9" max="9" width="7.140625" style="53" customWidth="1"/>
    <col min="10" max="10" width="3.7109375" style="53" customWidth="1"/>
    <col min="11" max="11" width="115.140625" style="53" customWidth="1"/>
    <col min="12" max="12" width="5" style="53" customWidth="1"/>
    <col min="13" max="16384" width="11.42578125" style="53"/>
  </cols>
  <sheetData>
    <row r="1" spans="1:14" ht="48.75" customHeight="1" x14ac:dyDescent="0.2">
      <c r="A1" s="442"/>
      <c r="B1" s="442"/>
      <c r="C1" s="442"/>
      <c r="D1" s="442"/>
      <c r="E1" s="442"/>
      <c r="F1" s="442"/>
      <c r="G1" s="442"/>
      <c r="H1" s="442"/>
      <c r="I1" s="442"/>
      <c r="J1" s="442"/>
      <c r="K1" s="442"/>
      <c r="L1" s="442"/>
    </row>
    <row r="2" spans="1:14" x14ac:dyDescent="0.2">
      <c r="A2" s="443"/>
      <c r="B2" s="443"/>
      <c r="C2" s="443"/>
      <c r="D2" s="443"/>
      <c r="E2" s="443"/>
      <c r="F2" s="443"/>
      <c r="G2" s="443"/>
      <c r="H2" s="443"/>
      <c r="I2" s="443"/>
      <c r="J2" s="443"/>
      <c r="K2" s="443"/>
      <c r="L2" s="443"/>
    </row>
    <row r="3" spans="1:14" ht="37.5" customHeight="1" x14ac:dyDescent="0.55000000000000004">
      <c r="A3" s="443"/>
      <c r="B3" s="444" t="s">
        <v>0</v>
      </c>
      <c r="C3" s="445"/>
      <c r="D3" s="445"/>
      <c r="E3" s="445"/>
      <c r="F3" s="445"/>
      <c r="G3" s="445"/>
      <c r="H3" s="445"/>
      <c r="I3" s="442"/>
      <c r="J3" s="442"/>
      <c r="K3" s="445" t="s">
        <v>1</v>
      </c>
      <c r="L3" s="446"/>
      <c r="M3" s="468"/>
      <c r="N3" s="468"/>
    </row>
    <row r="4" spans="1:14" ht="18.399999999999999" customHeight="1" x14ac:dyDescent="0.55000000000000004">
      <c r="A4" s="443"/>
      <c r="B4" s="443"/>
      <c r="C4" s="446"/>
      <c r="D4" s="446"/>
      <c r="E4" s="446"/>
      <c r="F4" s="446"/>
      <c r="G4" s="446"/>
      <c r="H4" s="446"/>
      <c r="I4" s="443"/>
      <c r="J4" s="443"/>
      <c r="K4" s="446"/>
      <c r="L4" s="446"/>
      <c r="M4" s="468"/>
      <c r="N4" s="468"/>
    </row>
    <row r="5" spans="1:14" ht="18.399999999999999" customHeight="1" x14ac:dyDescent="0.2">
      <c r="A5" s="443"/>
      <c r="B5" s="443"/>
      <c r="C5" s="443"/>
      <c r="D5" s="443"/>
      <c r="E5" s="443"/>
      <c r="F5" s="443"/>
      <c r="G5" s="443"/>
      <c r="H5" s="443"/>
      <c r="I5" s="443"/>
      <c r="J5" s="443"/>
      <c r="K5" s="447"/>
      <c r="L5" s="443"/>
    </row>
    <row r="6" spans="1:14" ht="18.75" customHeight="1" x14ac:dyDescent="0.2">
      <c r="A6" s="443"/>
      <c r="B6" s="443"/>
      <c r="C6" s="443"/>
      <c r="D6" s="443"/>
      <c r="E6" s="443"/>
      <c r="F6" s="443"/>
      <c r="G6" s="443"/>
      <c r="H6" s="443"/>
      <c r="I6" s="448"/>
      <c r="J6" s="443"/>
      <c r="K6" s="447"/>
      <c r="L6" s="443"/>
    </row>
    <row r="7" spans="1:14" ht="18.75" customHeight="1" x14ac:dyDescent="0.2">
      <c r="A7" s="443"/>
      <c r="B7" s="443"/>
      <c r="C7" s="443"/>
      <c r="D7" s="443"/>
      <c r="E7" s="443"/>
      <c r="F7" s="443"/>
      <c r="G7" s="443"/>
      <c r="H7" s="443"/>
      <c r="I7" s="443"/>
      <c r="J7" s="443"/>
      <c r="K7" s="447"/>
      <c r="L7" s="443"/>
    </row>
    <row r="8" spans="1:14" ht="138" customHeight="1" x14ac:dyDescent="0.2">
      <c r="A8" s="443"/>
      <c r="B8" s="443"/>
      <c r="C8" s="443"/>
      <c r="D8" s="443"/>
      <c r="E8" s="443"/>
      <c r="F8" s="443"/>
      <c r="G8" s="443"/>
      <c r="H8" s="443"/>
      <c r="I8" s="443"/>
      <c r="J8" s="443"/>
      <c r="K8" s="447"/>
      <c r="L8" s="443"/>
    </row>
    <row r="9" spans="1:14" ht="18.75" customHeight="1" x14ac:dyDescent="0.2">
      <c r="A9" s="443"/>
      <c r="B9" s="443"/>
      <c r="C9" s="443"/>
      <c r="D9" s="443"/>
      <c r="E9" s="443"/>
      <c r="F9" s="443"/>
      <c r="G9" s="443"/>
      <c r="H9" s="443"/>
      <c r="I9" s="443"/>
      <c r="J9" s="443"/>
      <c r="K9" s="447"/>
      <c r="L9" s="443"/>
    </row>
    <row r="10" spans="1:14" ht="18.75" customHeight="1" x14ac:dyDescent="0.2">
      <c r="A10" s="443"/>
      <c r="B10" s="443"/>
      <c r="C10" s="443"/>
      <c r="D10" s="443"/>
      <c r="E10" s="443"/>
      <c r="F10" s="443"/>
      <c r="G10" s="443"/>
      <c r="H10" s="443"/>
      <c r="I10" s="443"/>
      <c r="J10" s="443"/>
      <c r="K10" s="447"/>
      <c r="L10" s="443"/>
    </row>
    <row r="11" spans="1:14" ht="18.75" customHeight="1" x14ac:dyDescent="0.2">
      <c r="A11" s="443"/>
      <c r="B11" s="443"/>
      <c r="C11" s="443"/>
      <c r="D11" s="443"/>
      <c r="E11" s="443"/>
      <c r="F11" s="443"/>
      <c r="G11" s="443"/>
      <c r="H11" s="443"/>
      <c r="I11" s="443"/>
      <c r="J11" s="443"/>
      <c r="K11" s="447"/>
      <c r="L11" s="443"/>
    </row>
    <row r="12" spans="1:14" ht="18.75" customHeight="1" x14ac:dyDescent="0.2">
      <c r="A12" s="443"/>
      <c r="B12" s="443"/>
      <c r="C12" s="443"/>
      <c r="D12" s="443"/>
      <c r="E12" s="443"/>
      <c r="F12" s="443"/>
      <c r="G12" s="443"/>
      <c r="H12" s="443"/>
      <c r="I12" s="443"/>
      <c r="J12" s="443"/>
      <c r="K12" s="447"/>
      <c r="L12" s="443"/>
    </row>
    <row r="13" spans="1:14" ht="18.75" customHeight="1" x14ac:dyDescent="0.2">
      <c r="A13" s="443"/>
      <c r="B13" s="443"/>
      <c r="C13" s="443"/>
      <c r="D13" s="443"/>
      <c r="E13" s="443"/>
      <c r="F13" s="443"/>
      <c r="G13" s="443"/>
      <c r="H13" s="443"/>
      <c r="I13" s="443"/>
      <c r="J13" s="443"/>
      <c r="K13" s="447"/>
      <c r="L13" s="443"/>
    </row>
    <row r="14" spans="1:14" ht="18.75" customHeight="1" x14ac:dyDescent="0.2">
      <c r="A14" s="443"/>
      <c r="B14" s="443"/>
      <c r="C14" s="443"/>
      <c r="D14" s="443"/>
      <c r="E14" s="443"/>
      <c r="F14" s="443"/>
      <c r="G14" s="443"/>
      <c r="H14" s="443"/>
      <c r="I14" s="443"/>
      <c r="J14" s="443"/>
      <c r="K14" s="447"/>
      <c r="L14" s="443"/>
    </row>
    <row r="15" spans="1:14" ht="18.75" customHeight="1" x14ac:dyDescent="0.2">
      <c r="A15" s="443"/>
      <c r="B15" s="443"/>
      <c r="C15" s="443"/>
      <c r="D15" s="443"/>
      <c r="E15" s="443"/>
      <c r="F15" s="443"/>
      <c r="G15" s="443"/>
      <c r="H15" s="443"/>
      <c r="I15" s="443"/>
      <c r="J15" s="443"/>
      <c r="K15" s="447"/>
      <c r="L15" s="443"/>
    </row>
    <row r="16" spans="1:14" ht="18.75" customHeight="1" x14ac:dyDescent="0.2">
      <c r="A16" s="443"/>
      <c r="B16" s="443"/>
      <c r="C16" s="443"/>
      <c r="D16" s="443"/>
      <c r="E16" s="443"/>
      <c r="F16" s="443"/>
      <c r="G16" s="443"/>
      <c r="H16" s="443"/>
      <c r="I16" s="443"/>
      <c r="J16" s="443"/>
      <c r="K16" s="447"/>
      <c r="L16" s="443"/>
    </row>
    <row r="17" spans="1:12" ht="18.75" customHeight="1" x14ac:dyDescent="0.2">
      <c r="A17" s="443"/>
      <c r="B17" s="443"/>
      <c r="C17" s="443"/>
      <c r="D17" s="443"/>
      <c r="E17" s="443"/>
      <c r="F17" s="443"/>
      <c r="G17" s="443"/>
      <c r="H17" s="443"/>
      <c r="I17" s="443"/>
      <c r="J17" s="443"/>
      <c r="K17" s="447"/>
      <c r="L17" s="443"/>
    </row>
    <row r="18" spans="1:12" ht="18.75" customHeight="1" x14ac:dyDescent="0.2">
      <c r="A18" s="443"/>
      <c r="B18" s="443"/>
      <c r="C18" s="443"/>
      <c r="D18" s="443"/>
      <c r="E18" s="443"/>
      <c r="F18" s="443"/>
      <c r="G18" s="443"/>
      <c r="H18" s="443"/>
      <c r="I18" s="443"/>
      <c r="J18" s="443"/>
      <c r="K18" s="447"/>
      <c r="L18" s="443"/>
    </row>
    <row r="19" spans="1:12" ht="18.75" customHeight="1" x14ac:dyDescent="0.2">
      <c r="A19" s="443"/>
      <c r="B19" s="443"/>
      <c r="C19" s="443"/>
      <c r="D19" s="443"/>
      <c r="E19" s="443"/>
      <c r="F19" s="443"/>
      <c r="G19" s="443"/>
      <c r="H19" s="443"/>
      <c r="I19" s="443"/>
      <c r="J19" s="443"/>
      <c r="K19" s="447"/>
      <c r="L19" s="443"/>
    </row>
    <row r="20" spans="1:12" ht="55.5" customHeight="1" x14ac:dyDescent="0.2">
      <c r="A20" s="443"/>
      <c r="B20" s="443"/>
      <c r="C20" s="443"/>
      <c r="D20" s="443"/>
      <c r="E20" s="443"/>
      <c r="F20" s="443"/>
      <c r="G20" s="443"/>
      <c r="H20" s="443"/>
      <c r="I20" s="443"/>
      <c r="J20" s="443"/>
      <c r="K20" s="447"/>
      <c r="L20" s="443"/>
    </row>
    <row r="21" spans="1:12" ht="18.75" customHeight="1" x14ac:dyDescent="0.25">
      <c r="A21" s="443"/>
      <c r="B21" s="443"/>
      <c r="C21" s="443"/>
      <c r="D21" s="443"/>
      <c r="E21" s="443"/>
      <c r="F21" s="443"/>
      <c r="G21" s="443"/>
      <c r="H21" s="443"/>
      <c r="I21" s="443"/>
      <c r="J21" s="443"/>
      <c r="K21" s="449"/>
      <c r="L21" s="443"/>
    </row>
    <row r="22" spans="1:12" ht="18.75" customHeight="1" x14ac:dyDescent="0.3">
      <c r="A22" s="443"/>
      <c r="B22" s="443"/>
      <c r="C22" s="443"/>
      <c r="D22" s="443"/>
      <c r="E22" s="443"/>
      <c r="F22" s="443"/>
      <c r="G22" s="443"/>
      <c r="H22" s="443"/>
      <c r="I22" s="443"/>
      <c r="J22" s="443"/>
      <c r="K22" s="450"/>
      <c r="L22" s="443"/>
    </row>
    <row r="23" spans="1:12" ht="18.75" customHeight="1" x14ac:dyDescent="0.2">
      <c r="A23" s="443"/>
      <c r="B23" s="443"/>
      <c r="C23" s="443"/>
      <c r="D23" s="443"/>
      <c r="E23" s="443"/>
      <c r="F23" s="443"/>
      <c r="G23" s="443"/>
      <c r="H23" s="443"/>
      <c r="I23" s="443"/>
      <c r="J23" s="443"/>
      <c r="K23" s="447"/>
      <c r="L23" s="443"/>
    </row>
    <row r="24" spans="1:12" ht="18.75" customHeight="1" x14ac:dyDescent="0.2">
      <c r="A24" s="443"/>
      <c r="B24" s="443"/>
      <c r="C24" s="443"/>
      <c r="D24" s="443"/>
      <c r="E24" s="443"/>
      <c r="F24" s="443"/>
      <c r="G24" s="443"/>
      <c r="H24" s="443"/>
      <c r="I24" s="443"/>
      <c r="J24" s="443"/>
      <c r="K24" s="447"/>
      <c r="L24" s="443"/>
    </row>
    <row r="25" spans="1:12" ht="18.75" customHeight="1" x14ac:dyDescent="0.2">
      <c r="A25" s="443"/>
      <c r="B25" s="443"/>
      <c r="C25" s="443"/>
      <c r="D25" s="443"/>
      <c r="E25" s="443"/>
      <c r="F25" s="443"/>
      <c r="G25" s="443"/>
      <c r="H25" s="443"/>
      <c r="I25" s="443"/>
      <c r="J25" s="443"/>
      <c r="K25" s="447"/>
      <c r="L25" s="443"/>
    </row>
    <row r="26" spans="1:12" ht="18.75" customHeight="1" x14ac:dyDescent="0.2">
      <c r="A26" s="443"/>
      <c r="B26" s="443"/>
      <c r="C26" s="443"/>
      <c r="D26" s="443"/>
      <c r="E26" s="443"/>
      <c r="F26" s="443"/>
      <c r="G26" s="443"/>
      <c r="H26" s="443"/>
      <c r="I26" s="443"/>
      <c r="J26" s="443"/>
      <c r="K26" s="447"/>
      <c r="L26" s="443"/>
    </row>
    <row r="27" spans="1:12" ht="18.75" customHeight="1" x14ac:dyDescent="0.2">
      <c r="A27" s="443"/>
      <c r="B27" s="443"/>
      <c r="C27" s="443"/>
      <c r="D27" s="443"/>
      <c r="E27" s="443"/>
      <c r="F27" s="443"/>
      <c r="G27" s="443"/>
      <c r="H27" s="443"/>
      <c r="I27" s="443"/>
      <c r="J27" s="443"/>
      <c r="K27" s="447"/>
      <c r="L27" s="443"/>
    </row>
    <row r="28" spans="1:12" ht="18.75" customHeight="1" x14ac:dyDescent="0.2">
      <c r="A28" s="443"/>
      <c r="B28" s="443"/>
      <c r="C28" s="443"/>
      <c r="D28" s="443"/>
      <c r="E28" s="443"/>
      <c r="F28" s="443"/>
      <c r="G28" s="443"/>
      <c r="H28" s="443"/>
      <c r="I28" s="443"/>
      <c r="J28" s="443"/>
      <c r="K28" s="447"/>
      <c r="L28" s="443"/>
    </row>
    <row r="29" spans="1:12" ht="18.75" customHeight="1" x14ac:dyDescent="0.2">
      <c r="A29" s="443"/>
      <c r="B29" s="443"/>
      <c r="C29" s="443"/>
      <c r="D29" s="443"/>
      <c r="E29" s="443"/>
      <c r="F29" s="443"/>
      <c r="G29" s="443"/>
      <c r="H29" s="443"/>
      <c r="I29" s="443"/>
      <c r="J29" s="443"/>
      <c r="K29" s="447"/>
      <c r="L29" s="443"/>
    </row>
    <row r="30" spans="1:12" ht="18.75" customHeight="1" x14ac:dyDescent="0.2">
      <c r="A30" s="443"/>
      <c r="B30" s="443"/>
      <c r="C30" s="443"/>
      <c r="D30" s="443"/>
      <c r="E30" s="443"/>
      <c r="F30" s="443"/>
      <c r="G30" s="443"/>
      <c r="H30" s="443"/>
      <c r="I30" s="443"/>
      <c r="J30" s="443"/>
      <c r="K30" s="447"/>
      <c r="L30" s="443"/>
    </row>
    <row r="31" spans="1:12" ht="18.75" customHeight="1" x14ac:dyDescent="0.2">
      <c r="A31" s="443"/>
      <c r="B31" s="443"/>
      <c r="C31" s="443"/>
      <c r="D31" s="443"/>
      <c r="E31" s="443"/>
      <c r="F31" s="443"/>
      <c r="G31" s="443"/>
      <c r="H31" s="443"/>
      <c r="I31" s="443"/>
      <c r="J31" s="443"/>
      <c r="K31" s="447"/>
      <c r="L31" s="443"/>
    </row>
    <row r="32" spans="1:12" ht="18.75" customHeight="1" x14ac:dyDescent="0.2">
      <c r="A32" s="443"/>
      <c r="B32" s="443"/>
      <c r="C32" s="443"/>
      <c r="D32" s="443"/>
      <c r="E32" s="443"/>
      <c r="F32" s="443"/>
      <c r="G32" s="443"/>
      <c r="H32" s="443"/>
      <c r="I32" s="443"/>
      <c r="J32" s="443"/>
      <c r="K32" s="447"/>
      <c r="L32" s="443"/>
    </row>
    <row r="33" spans="1:12" ht="18.75" customHeight="1" x14ac:dyDescent="0.2">
      <c r="A33" s="443"/>
      <c r="B33" s="443"/>
      <c r="C33" s="443"/>
      <c r="D33" s="443"/>
      <c r="E33" s="443"/>
      <c r="F33" s="443"/>
      <c r="G33" s="443"/>
      <c r="H33" s="443"/>
      <c r="I33" s="443"/>
      <c r="J33" s="443"/>
      <c r="K33" s="447"/>
      <c r="L33" s="443"/>
    </row>
    <row r="34" spans="1:12" ht="18.75" customHeight="1" x14ac:dyDescent="0.2">
      <c r="A34" s="443"/>
      <c r="B34" s="443"/>
      <c r="C34" s="443"/>
      <c r="D34" s="443"/>
      <c r="E34" s="443"/>
      <c r="F34" s="443"/>
      <c r="G34" s="443"/>
      <c r="H34" s="443"/>
      <c r="I34" s="443"/>
      <c r="J34" s="443"/>
      <c r="K34" s="447"/>
      <c r="L34" s="443"/>
    </row>
    <row r="35" spans="1:12" ht="18.75" customHeight="1" x14ac:dyDescent="0.2">
      <c r="A35" s="443"/>
      <c r="B35" s="443"/>
      <c r="C35" s="443"/>
      <c r="D35" s="443"/>
      <c r="E35" s="443"/>
      <c r="F35" s="443"/>
      <c r="G35" s="443"/>
      <c r="H35" s="443"/>
      <c r="I35" s="443"/>
      <c r="J35" s="443"/>
      <c r="K35" s="447"/>
      <c r="L35" s="443"/>
    </row>
    <row r="36" spans="1:12" ht="18.75" customHeight="1" x14ac:dyDescent="0.2">
      <c r="A36" s="443"/>
      <c r="B36" s="443"/>
      <c r="C36" s="443"/>
      <c r="D36" s="443"/>
      <c r="E36" s="443"/>
      <c r="F36" s="443"/>
      <c r="G36" s="443"/>
      <c r="H36" s="443"/>
      <c r="I36" s="443"/>
      <c r="J36" s="443"/>
      <c r="K36" s="447"/>
      <c r="L36" s="443"/>
    </row>
    <row r="37" spans="1:12" ht="15" x14ac:dyDescent="0.25">
      <c r="A37" s="246"/>
      <c r="B37" s="246"/>
      <c r="C37" s="246"/>
      <c r="D37" s="246"/>
      <c r="E37" s="246"/>
      <c r="F37" s="246"/>
      <c r="G37" s="246"/>
      <c r="H37" s="246"/>
      <c r="I37" s="443"/>
      <c r="J37" s="443"/>
      <c r="K37" s="447"/>
      <c r="L37" s="443"/>
    </row>
    <row r="38" spans="1:12" ht="15" x14ac:dyDescent="0.25">
      <c r="A38" s="246"/>
      <c r="B38" s="246"/>
      <c r="C38" s="246"/>
      <c r="D38" s="246"/>
      <c r="E38" s="246"/>
      <c r="F38" s="246"/>
      <c r="G38" s="246"/>
      <c r="H38" s="246"/>
      <c r="I38" s="443"/>
      <c r="J38" s="443"/>
      <c r="K38" s="447"/>
      <c r="L38" s="443"/>
    </row>
    <row r="39" spans="1:12" ht="15" x14ac:dyDescent="0.25">
      <c r="A39" s="246"/>
      <c r="B39" s="246"/>
      <c r="C39" s="246"/>
      <c r="D39" s="246"/>
      <c r="E39" s="246"/>
      <c r="F39" s="246"/>
      <c r="G39" s="246"/>
      <c r="H39" s="246"/>
      <c r="I39" s="443"/>
      <c r="J39" s="443"/>
      <c r="K39" s="447"/>
      <c r="L39" s="443"/>
    </row>
    <row r="40" spans="1:12" ht="15" x14ac:dyDescent="0.25">
      <c r="A40" s="246"/>
      <c r="B40" s="246"/>
      <c r="C40" s="246"/>
      <c r="D40" s="246"/>
      <c r="E40" s="246"/>
      <c r="F40" s="246"/>
      <c r="G40" s="246"/>
      <c r="H40" s="246"/>
      <c r="I40" s="443"/>
      <c r="J40" s="443"/>
      <c r="K40" s="443"/>
      <c r="L40" s="246"/>
    </row>
    <row r="41" spans="1:12" ht="20.65" customHeight="1" x14ac:dyDescent="0.2">
      <c r="A41" s="443"/>
      <c r="B41" s="443"/>
      <c r="C41" s="443"/>
      <c r="D41" s="443"/>
      <c r="E41" s="443"/>
      <c r="F41" s="443"/>
      <c r="G41" s="443"/>
      <c r="H41" s="443"/>
      <c r="I41" s="443"/>
      <c r="J41" s="443"/>
      <c r="K41" s="451"/>
      <c r="L41" s="443"/>
    </row>
    <row r="42" spans="1:12" x14ac:dyDescent="0.2">
      <c r="A42" s="443"/>
      <c r="B42" s="443"/>
      <c r="C42" s="443"/>
      <c r="D42" s="443"/>
      <c r="E42" s="443"/>
      <c r="F42" s="443"/>
      <c r="G42" s="443"/>
      <c r="H42" s="443"/>
      <c r="I42" s="443"/>
      <c r="J42" s="443"/>
      <c r="K42" s="443"/>
      <c r="L42" s="443"/>
    </row>
    <row r="43" spans="1:12" x14ac:dyDescent="0.2">
      <c r="A43" s="443"/>
      <c r="B43" s="443"/>
      <c r="C43" s="443"/>
      <c r="D43" s="443"/>
      <c r="E43" s="443"/>
      <c r="F43" s="443"/>
      <c r="G43" s="443"/>
      <c r="H43" s="443"/>
      <c r="I43" s="443"/>
      <c r="J43" s="443"/>
      <c r="K43" s="443"/>
      <c r="L43" s="443"/>
    </row>
    <row r="44" spans="1:12" x14ac:dyDescent="0.2">
      <c r="A44" s="443"/>
      <c r="B44" s="443"/>
      <c r="C44" s="443"/>
      <c r="D44" s="443"/>
      <c r="E44" s="443"/>
      <c r="F44" s="443"/>
      <c r="G44" s="443"/>
      <c r="H44" s="443"/>
      <c r="I44" s="443"/>
      <c r="J44" s="443"/>
      <c r="K44" s="443"/>
      <c r="L44" s="443"/>
    </row>
    <row r="45" spans="1:12" x14ac:dyDescent="0.2">
      <c r="A45" s="443"/>
      <c r="B45" s="443"/>
      <c r="C45" s="443"/>
      <c r="D45" s="443"/>
      <c r="E45" s="443"/>
      <c r="F45" s="443"/>
      <c r="G45" s="443"/>
      <c r="H45" s="443"/>
      <c r="I45" s="443"/>
      <c r="J45" s="443"/>
      <c r="K45" s="443"/>
      <c r="L45" s="443"/>
    </row>
    <row r="46" spans="1:12" ht="22.5" customHeight="1" x14ac:dyDescent="0.2">
      <c r="A46" s="443"/>
      <c r="B46" s="443"/>
      <c r="C46" s="443"/>
      <c r="D46" s="443"/>
      <c r="E46" s="443"/>
      <c r="F46" s="443"/>
      <c r="G46" s="443"/>
      <c r="H46" s="443"/>
      <c r="I46" s="443"/>
      <c r="J46" s="443"/>
      <c r="K46" s="452"/>
      <c r="L46" s="443"/>
    </row>
    <row r="47" spans="1:12" x14ac:dyDescent="0.2">
      <c r="A47" s="443"/>
      <c r="B47" s="443"/>
      <c r="C47" s="443"/>
      <c r="D47" s="443"/>
      <c r="E47" s="443"/>
      <c r="F47" s="443"/>
      <c r="G47" s="443"/>
      <c r="H47" s="443"/>
      <c r="I47" s="443"/>
      <c r="J47" s="443"/>
      <c r="K47" s="443"/>
      <c r="L47" s="443"/>
    </row>
    <row r="48" spans="1:12" ht="21" customHeight="1" x14ac:dyDescent="0.2">
      <c r="A48" s="443"/>
      <c r="B48" s="443"/>
      <c r="C48" s="443"/>
      <c r="D48" s="443"/>
      <c r="E48" s="443"/>
      <c r="F48" s="443"/>
      <c r="G48" s="443"/>
      <c r="H48" s="443"/>
      <c r="I48" s="443"/>
      <c r="J48" s="443"/>
      <c r="K48" s="443"/>
      <c r="L48" s="443"/>
    </row>
    <row r="49" spans="1:12" ht="21" customHeight="1" x14ac:dyDescent="0.2">
      <c r="A49" s="443"/>
      <c r="B49" s="443"/>
      <c r="C49" s="443"/>
      <c r="D49" s="443"/>
      <c r="E49" s="443"/>
      <c r="F49" s="443"/>
      <c r="G49" s="443"/>
      <c r="H49" s="443"/>
      <c r="I49" s="443"/>
      <c r="J49" s="443"/>
      <c r="K49" s="474" t="s">
        <v>2</v>
      </c>
      <c r="L49" s="475"/>
    </row>
    <row r="50" spans="1:12" ht="21" customHeight="1" x14ac:dyDescent="0.2">
      <c r="A50" s="443"/>
      <c r="B50" s="443"/>
      <c r="C50" s="443"/>
      <c r="D50" s="443"/>
      <c r="E50" s="443"/>
      <c r="F50" s="443"/>
      <c r="G50" s="443"/>
      <c r="H50" s="443"/>
      <c r="I50" s="443"/>
      <c r="J50" s="443"/>
      <c r="K50" s="474"/>
      <c r="L50" s="475"/>
    </row>
    <row r="51" spans="1:12" ht="12.4" customHeight="1" x14ac:dyDescent="0.2">
      <c r="A51" s="443"/>
      <c r="B51" s="443"/>
      <c r="C51" s="443"/>
      <c r="D51" s="443"/>
      <c r="E51" s="443"/>
      <c r="F51" s="443"/>
      <c r="G51" s="443"/>
      <c r="H51" s="443"/>
      <c r="I51" s="443"/>
      <c r="J51" s="443"/>
      <c r="K51" s="452"/>
      <c r="L51" s="443"/>
    </row>
    <row r="52" spans="1:12" ht="12.4" customHeight="1" x14ac:dyDescent="0.2">
      <c r="A52" s="443"/>
      <c r="B52" s="443"/>
      <c r="C52" s="443"/>
      <c r="D52" s="443"/>
      <c r="E52" s="443"/>
      <c r="F52" s="443"/>
      <c r="G52" s="443"/>
      <c r="H52" s="443"/>
      <c r="I52" s="443"/>
      <c r="J52" s="443"/>
      <c r="K52" s="452"/>
      <c r="L52" s="443"/>
    </row>
    <row r="53" spans="1:12" ht="12.4" customHeight="1" x14ac:dyDescent="0.2">
      <c r="A53" s="443"/>
      <c r="B53" s="443"/>
      <c r="C53" s="443"/>
      <c r="D53" s="443"/>
      <c r="E53" s="443"/>
      <c r="F53" s="443"/>
      <c r="G53" s="443"/>
      <c r="H53" s="443"/>
      <c r="I53" s="443"/>
      <c r="J53" s="443"/>
      <c r="K53" s="452"/>
      <c r="L53" s="443"/>
    </row>
    <row r="54" spans="1:12" ht="12.4" customHeight="1" x14ac:dyDescent="0.2">
      <c r="A54" s="443"/>
      <c r="B54" s="443"/>
      <c r="C54" s="443"/>
      <c r="D54" s="443"/>
      <c r="E54" s="443"/>
      <c r="F54" s="443"/>
      <c r="G54" s="443"/>
      <c r="H54" s="443"/>
      <c r="I54" s="443"/>
      <c r="J54" s="443"/>
      <c r="K54" s="452"/>
      <c r="L54" s="443"/>
    </row>
    <row r="55" spans="1:12" ht="12.4" customHeight="1" x14ac:dyDescent="0.2">
      <c r="A55" s="443"/>
      <c r="B55" s="443"/>
      <c r="C55" s="443"/>
      <c r="D55" s="443"/>
      <c r="E55" s="443"/>
      <c r="F55" s="443"/>
      <c r="G55" s="443"/>
      <c r="H55" s="443"/>
      <c r="I55" s="443"/>
      <c r="J55" s="443"/>
      <c r="K55" s="452"/>
      <c r="L55" s="443"/>
    </row>
    <row r="56" spans="1:12" ht="12.4" customHeight="1" x14ac:dyDescent="0.2">
      <c r="A56" s="443"/>
      <c r="B56" s="443"/>
      <c r="C56" s="443"/>
      <c r="D56" s="443"/>
      <c r="E56" s="443"/>
      <c r="F56" s="443"/>
      <c r="G56" s="443"/>
      <c r="H56" s="443"/>
      <c r="I56" s="443"/>
      <c r="J56" s="443"/>
      <c r="K56" s="452"/>
      <c r="L56" s="443"/>
    </row>
    <row r="57" spans="1:12" ht="12.4" customHeight="1" x14ac:dyDescent="0.2">
      <c r="A57" s="443"/>
      <c r="B57" s="443"/>
      <c r="C57" s="443"/>
      <c r="D57" s="443"/>
      <c r="E57" s="443"/>
      <c r="F57" s="443"/>
      <c r="G57" s="443"/>
      <c r="H57" s="443"/>
      <c r="I57" s="443"/>
      <c r="J57" s="443"/>
      <c r="K57" s="452"/>
      <c r="L57" s="443"/>
    </row>
    <row r="58" spans="1:12" ht="12.4" customHeight="1" x14ac:dyDescent="0.2">
      <c r="A58" s="443"/>
      <c r="B58" s="472" t="s">
        <v>1025</v>
      </c>
      <c r="C58" s="471"/>
      <c r="D58" s="443"/>
      <c r="E58" s="443"/>
      <c r="F58" s="443"/>
      <c r="G58" s="443"/>
      <c r="H58" s="443"/>
      <c r="I58" s="443"/>
      <c r="J58" s="443"/>
      <c r="K58" s="452"/>
      <c r="L58" s="443"/>
    </row>
    <row r="59" spans="1:12" ht="12.4" customHeight="1" x14ac:dyDescent="0.2">
      <c r="A59" s="443"/>
      <c r="B59" s="443"/>
      <c r="C59" s="443"/>
      <c r="D59" s="443"/>
      <c r="E59" s="443"/>
      <c r="F59" s="443"/>
      <c r="G59" s="443"/>
      <c r="H59" s="443"/>
      <c r="I59" s="443"/>
      <c r="J59" s="443"/>
      <c r="K59" s="452"/>
      <c r="L59" s="443"/>
    </row>
    <row r="60" spans="1:12" ht="12.4" customHeight="1" x14ac:dyDescent="0.2">
      <c r="K60" s="469"/>
    </row>
    <row r="62" spans="1:12" ht="15" x14ac:dyDescent="0.25">
      <c r="A62"/>
      <c r="B62"/>
      <c r="C62"/>
      <c r="D62"/>
      <c r="E62"/>
      <c r="F62"/>
      <c r="G62"/>
      <c r="H62"/>
    </row>
    <row r="63" spans="1:12" ht="15" x14ac:dyDescent="0.25">
      <c r="A63"/>
      <c r="B63"/>
      <c r="C63" s="470"/>
      <c r="D63"/>
      <c r="E63"/>
      <c r="F63"/>
      <c r="G63"/>
      <c r="H63"/>
    </row>
    <row r="64" spans="1:12" ht="15" x14ac:dyDescent="0.25">
      <c r="A64"/>
      <c r="B64"/>
      <c r="C64"/>
      <c r="D64"/>
      <c r="E64"/>
      <c r="F64"/>
      <c r="G64"/>
      <c r="H64"/>
    </row>
    <row r="65" spans="1:8" ht="15" x14ac:dyDescent="0.25">
      <c r="A65"/>
      <c r="B65"/>
      <c r="C65"/>
      <c r="D65"/>
      <c r="E65"/>
      <c r="F65"/>
      <c r="G65"/>
      <c r="H65"/>
    </row>
    <row r="66" spans="1:8" ht="15" x14ac:dyDescent="0.25">
      <c r="A66"/>
      <c r="B66"/>
      <c r="C66"/>
      <c r="D66"/>
      <c r="E66"/>
      <c r="F66"/>
      <c r="G66"/>
      <c r="H66"/>
    </row>
    <row r="67" spans="1:8" ht="15" x14ac:dyDescent="0.25">
      <c r="A67"/>
      <c r="B67"/>
      <c r="C67"/>
      <c r="D67"/>
      <c r="E67"/>
      <c r="F67"/>
      <c r="G67"/>
      <c r="H67"/>
    </row>
    <row r="68" spans="1:8" ht="15" x14ac:dyDescent="0.25">
      <c r="A68"/>
      <c r="B68"/>
      <c r="C68"/>
      <c r="D68"/>
      <c r="E68"/>
      <c r="F68"/>
      <c r="G68"/>
      <c r="H68"/>
    </row>
    <row r="69" spans="1:8" ht="15" x14ac:dyDescent="0.25">
      <c r="A69"/>
      <c r="B69"/>
      <c r="C69"/>
      <c r="D69"/>
      <c r="E69"/>
      <c r="F69"/>
      <c r="G69"/>
      <c r="H69"/>
    </row>
    <row r="70" spans="1:8" ht="15" x14ac:dyDescent="0.25">
      <c r="A70"/>
      <c r="B70"/>
      <c r="C70"/>
      <c r="D70"/>
      <c r="E70"/>
      <c r="F70"/>
      <c r="G70"/>
      <c r="H70"/>
    </row>
    <row r="71" spans="1:8" ht="15" x14ac:dyDescent="0.25">
      <c r="A71"/>
      <c r="B71"/>
      <c r="C71"/>
      <c r="D71"/>
      <c r="E71"/>
      <c r="F71"/>
      <c r="G71"/>
      <c r="H71"/>
    </row>
    <row r="72" spans="1:8" ht="15" x14ac:dyDescent="0.25">
      <c r="A72"/>
      <c r="B72"/>
      <c r="C72"/>
      <c r="D72"/>
      <c r="E72"/>
      <c r="F72"/>
      <c r="G72"/>
      <c r="H72"/>
    </row>
    <row r="73" spans="1:8" ht="15" x14ac:dyDescent="0.25">
      <c r="A73"/>
      <c r="B73"/>
      <c r="C73"/>
      <c r="D73"/>
      <c r="E73"/>
      <c r="F73"/>
      <c r="G73"/>
      <c r="H73"/>
    </row>
    <row r="74" spans="1:8" ht="15" x14ac:dyDescent="0.25">
      <c r="A74"/>
      <c r="B74"/>
      <c r="C74"/>
      <c r="D74"/>
      <c r="E74"/>
      <c r="F74"/>
      <c r="G74"/>
      <c r="H74"/>
    </row>
  </sheetData>
  <sheetProtection algorithmName="SHA-512" hashValue="IJDPQteb2mps8uezapip7E+fkoY8TI+9woipnN/3YDsCZNvtGEqKlZ6d2rlfJ3Z4h+z+pZ0vjuKlttmAq3Y4FA==" saltValue="qiZFP/XWnrBzkPYx9iKq2Q==" spinCount="100000" sheet="1" objects="1" scenarios="1"/>
  <mergeCells count="2">
    <mergeCell ref="K49:K50"/>
    <mergeCell ref="L49:L50"/>
  </mergeCells>
  <pageMargins left="0.23622047244094491" right="0.23622047244094491" top="0.19685039370078741" bottom="0.15748031496062992" header="0.31496062992125984" footer="0.31496062992125984"/>
  <pageSetup paperSize="9" scale="49" fitToHeight="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4EC35-36CA-4EA4-BB24-C4CC27A65A6F}">
  <sheetPr codeName="Ark10">
    <tabColor theme="7" tint="-0.249977111117893"/>
    <pageSetUpPr fitToPage="1"/>
  </sheetPr>
  <dimension ref="A1:DC942"/>
  <sheetViews>
    <sheetView zoomScaleNormal="100" workbookViewId="0">
      <pane xSplit="5" ySplit="5" topLeftCell="F17" activePane="bottomRight" state="frozen"/>
      <selection pane="topRight" activeCell="F1" sqref="F1"/>
      <selection pane="bottomLeft" activeCell="A6" sqref="A6"/>
      <selection pane="bottomRight" activeCell="I17" sqref="I17"/>
    </sheetView>
  </sheetViews>
  <sheetFormatPr defaultColWidth="11.42578125" defaultRowHeight="26.25" x14ac:dyDescent="0.25"/>
  <cols>
    <col min="1" max="1" width="2.28515625" style="32" customWidth="1"/>
    <col min="2" max="2" width="5.7109375" style="51" customWidth="1"/>
    <col min="3" max="3" width="13.140625" style="52" customWidth="1"/>
    <col min="4" max="4" width="5.140625" style="52" customWidth="1"/>
    <col min="5" max="5" width="13.140625" style="32" customWidth="1"/>
    <col min="6" max="19" width="20.7109375" style="32" customWidth="1"/>
    <col min="20" max="20" width="20.7109375" customWidth="1"/>
    <col min="21" max="106" width="20.7109375" style="32" customWidth="1"/>
    <col min="107" max="107" width="22" style="439" customWidth="1"/>
    <col min="108" max="16384" width="11.42578125" style="32"/>
  </cols>
  <sheetData>
    <row r="1" spans="1:107" ht="12" customHeight="1" x14ac:dyDescent="0.25">
      <c r="A1" s="244"/>
      <c r="B1" s="288"/>
      <c r="C1" s="288"/>
      <c r="D1" s="288"/>
      <c r="E1" s="288"/>
      <c r="F1" s="288"/>
      <c r="G1" s="288"/>
      <c r="H1" s="288"/>
      <c r="I1" s="288"/>
      <c r="J1" s="288"/>
      <c r="K1" s="288"/>
      <c r="L1" s="288"/>
      <c r="M1" s="288"/>
      <c r="N1" s="288"/>
      <c r="O1" s="288"/>
      <c r="P1" s="288"/>
      <c r="Q1" s="288"/>
      <c r="R1" s="289"/>
      <c r="S1" s="289"/>
      <c r="T1" s="246"/>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row>
    <row r="2" spans="1:107" ht="40.5" customHeight="1" thickBot="1" x14ac:dyDescent="0.25">
      <c r="A2" s="244"/>
      <c r="B2" s="434" t="s">
        <v>430</v>
      </c>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6"/>
      <c r="BD2" s="244"/>
      <c r="BE2" s="301" t="s">
        <v>431</v>
      </c>
    </row>
    <row r="3" spans="1:107" ht="14.25" customHeight="1" x14ac:dyDescent="0.25">
      <c r="A3" s="244"/>
      <c r="B3" s="289"/>
      <c r="C3" s="289"/>
      <c r="D3" s="289"/>
      <c r="E3" s="289"/>
      <c r="F3" s="289"/>
      <c r="G3" s="289"/>
      <c r="H3" s="289"/>
      <c r="I3" s="289"/>
      <c r="J3" s="289"/>
      <c r="K3" s="289"/>
      <c r="L3" s="289"/>
      <c r="M3" s="289"/>
      <c r="N3" s="289"/>
      <c r="O3" s="289"/>
      <c r="P3" s="289"/>
      <c r="Q3" s="289"/>
      <c r="R3" s="289"/>
      <c r="S3" s="289"/>
      <c r="T3" s="246"/>
      <c r="U3" s="246"/>
      <c r="V3" s="246"/>
      <c r="W3" s="246"/>
      <c r="X3" s="246"/>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row>
    <row r="4" spans="1:107" ht="33.4" customHeight="1" thickBot="1" x14ac:dyDescent="0.35">
      <c r="A4" s="244"/>
      <c r="B4" s="285"/>
      <c r="C4" s="285"/>
      <c r="D4" s="285"/>
      <c r="E4" s="285"/>
      <c r="F4" s="286" t="s">
        <v>432</v>
      </c>
      <c r="G4" s="286" t="s">
        <v>433</v>
      </c>
      <c r="H4" s="286" t="s">
        <v>434</v>
      </c>
      <c r="I4" s="287" t="s">
        <v>435</v>
      </c>
      <c r="J4" s="287" t="s">
        <v>4</v>
      </c>
      <c r="K4" s="287" t="s">
        <v>436</v>
      </c>
      <c r="L4" s="287" t="s">
        <v>437</v>
      </c>
      <c r="M4" s="287" t="s">
        <v>438</v>
      </c>
      <c r="N4" s="287" t="s">
        <v>439</v>
      </c>
      <c r="O4" s="286" t="s">
        <v>440</v>
      </c>
      <c r="P4" s="286" t="s">
        <v>432</v>
      </c>
      <c r="Q4" s="286" t="s">
        <v>433</v>
      </c>
      <c r="R4" s="286" t="s">
        <v>434</v>
      </c>
      <c r="S4" s="287" t="s">
        <v>435</v>
      </c>
      <c r="T4" s="287" t="s">
        <v>4</v>
      </c>
      <c r="U4" s="287" t="s">
        <v>436</v>
      </c>
      <c r="V4" s="287" t="s">
        <v>437</v>
      </c>
      <c r="W4" s="287" t="s">
        <v>438</v>
      </c>
      <c r="X4" s="287" t="s">
        <v>439</v>
      </c>
      <c r="Y4" s="286" t="s">
        <v>440</v>
      </c>
      <c r="Z4" s="286" t="s">
        <v>432</v>
      </c>
      <c r="AA4" s="286" t="s">
        <v>433</v>
      </c>
      <c r="AB4" s="286" t="s">
        <v>434</v>
      </c>
      <c r="AC4" s="287" t="s">
        <v>435</v>
      </c>
      <c r="AD4" s="287" t="s">
        <v>4</v>
      </c>
      <c r="AE4" s="287" t="s">
        <v>436</v>
      </c>
      <c r="AF4" s="287" t="s">
        <v>437</v>
      </c>
      <c r="AG4" s="287" t="s">
        <v>438</v>
      </c>
      <c r="AH4" s="287" t="s">
        <v>439</v>
      </c>
      <c r="AI4" s="286" t="s">
        <v>440</v>
      </c>
      <c r="AJ4" s="286" t="s">
        <v>432</v>
      </c>
      <c r="AK4" s="286" t="s">
        <v>433</v>
      </c>
      <c r="AL4" s="286" t="s">
        <v>434</v>
      </c>
      <c r="AM4" s="287" t="s">
        <v>435</v>
      </c>
      <c r="AN4" s="287" t="s">
        <v>4</v>
      </c>
      <c r="AO4" s="287" t="s">
        <v>436</v>
      </c>
      <c r="AP4" s="287" t="s">
        <v>437</v>
      </c>
      <c r="AQ4" s="287" t="s">
        <v>438</v>
      </c>
      <c r="AR4" s="287" t="s">
        <v>439</v>
      </c>
      <c r="AS4" s="286" t="s">
        <v>440</v>
      </c>
      <c r="AT4" s="286" t="s">
        <v>432</v>
      </c>
      <c r="AU4" s="286" t="s">
        <v>433</v>
      </c>
      <c r="AV4" s="286" t="s">
        <v>434</v>
      </c>
      <c r="AW4" s="287" t="s">
        <v>435</v>
      </c>
      <c r="AX4" s="287" t="s">
        <v>4</v>
      </c>
      <c r="AY4" s="287" t="s">
        <v>436</v>
      </c>
      <c r="AZ4" s="287" t="s">
        <v>437</v>
      </c>
      <c r="BA4" s="287" t="s">
        <v>438</v>
      </c>
      <c r="BB4" s="287" t="s">
        <v>439</v>
      </c>
      <c r="BC4" s="286" t="s">
        <v>440</v>
      </c>
      <c r="BD4" s="244"/>
      <c r="BE4" s="286" t="s">
        <v>432</v>
      </c>
      <c r="BF4" s="286" t="s">
        <v>433</v>
      </c>
      <c r="BG4" s="286" t="s">
        <v>434</v>
      </c>
      <c r="BH4" s="287" t="s">
        <v>435</v>
      </c>
      <c r="BI4" s="287" t="s">
        <v>789</v>
      </c>
      <c r="BJ4" s="287" t="s">
        <v>436</v>
      </c>
      <c r="BK4" s="287" t="s">
        <v>437</v>
      </c>
      <c r="BL4" s="287" t="s">
        <v>438</v>
      </c>
      <c r="BM4" s="287" t="s">
        <v>439</v>
      </c>
      <c r="BN4" s="286" t="s">
        <v>440</v>
      </c>
      <c r="BO4" s="286" t="s">
        <v>432</v>
      </c>
      <c r="BP4" s="286" t="s">
        <v>433</v>
      </c>
      <c r="BQ4" s="286" t="s">
        <v>434</v>
      </c>
      <c r="BR4" s="287" t="s">
        <v>435</v>
      </c>
      <c r="BS4" s="287" t="s">
        <v>789</v>
      </c>
      <c r="BT4" s="287" t="s">
        <v>436</v>
      </c>
      <c r="BU4" s="287" t="s">
        <v>437</v>
      </c>
      <c r="BV4" s="287" t="s">
        <v>438</v>
      </c>
      <c r="BW4" s="287" t="s">
        <v>439</v>
      </c>
      <c r="BX4" s="286" t="s">
        <v>440</v>
      </c>
      <c r="BY4" s="286" t="s">
        <v>432</v>
      </c>
      <c r="BZ4" s="286" t="s">
        <v>433</v>
      </c>
      <c r="CA4" s="286" t="s">
        <v>434</v>
      </c>
      <c r="CB4" s="287" t="s">
        <v>435</v>
      </c>
      <c r="CC4" s="287" t="s">
        <v>789</v>
      </c>
      <c r="CD4" s="287" t="s">
        <v>436</v>
      </c>
      <c r="CE4" s="287" t="s">
        <v>437</v>
      </c>
      <c r="CF4" s="287" t="s">
        <v>438</v>
      </c>
      <c r="CG4" s="287" t="s">
        <v>439</v>
      </c>
      <c r="CH4" s="286" t="s">
        <v>440</v>
      </c>
      <c r="CI4" s="286" t="s">
        <v>432</v>
      </c>
      <c r="CJ4" s="286" t="s">
        <v>433</v>
      </c>
      <c r="CK4" s="286" t="s">
        <v>434</v>
      </c>
      <c r="CL4" s="287" t="s">
        <v>435</v>
      </c>
      <c r="CM4" s="287" t="s">
        <v>789</v>
      </c>
      <c r="CN4" s="287" t="s">
        <v>436</v>
      </c>
      <c r="CO4" s="287" t="s">
        <v>437</v>
      </c>
      <c r="CP4" s="287" t="s">
        <v>438</v>
      </c>
      <c r="CQ4" s="287" t="s">
        <v>439</v>
      </c>
      <c r="CR4" s="286" t="s">
        <v>440</v>
      </c>
      <c r="CS4" s="286" t="s">
        <v>432</v>
      </c>
      <c r="CT4" s="286" t="s">
        <v>433</v>
      </c>
      <c r="CU4" s="286" t="s">
        <v>434</v>
      </c>
      <c r="CV4" s="287" t="s">
        <v>435</v>
      </c>
      <c r="CW4" s="287" t="s">
        <v>789</v>
      </c>
      <c r="CX4" s="287" t="s">
        <v>436</v>
      </c>
      <c r="CY4" s="287" t="s">
        <v>437</v>
      </c>
      <c r="CZ4" s="287" t="s">
        <v>438</v>
      </c>
      <c r="DA4" s="287" t="s">
        <v>439</v>
      </c>
      <c r="DB4" s="286" t="s">
        <v>440</v>
      </c>
    </row>
    <row r="5" spans="1:107" s="38" customFormat="1" ht="48.75" customHeight="1" thickTop="1" thickBot="1" x14ac:dyDescent="0.3">
      <c r="A5" s="251"/>
      <c r="B5" s="644" t="s">
        <v>106</v>
      </c>
      <c r="C5" s="644"/>
      <c r="D5" s="59"/>
      <c r="E5" s="59" t="s">
        <v>107</v>
      </c>
      <c r="F5" s="59" t="s">
        <v>263</v>
      </c>
      <c r="G5" s="59" t="s">
        <v>263</v>
      </c>
      <c r="H5" s="59" t="s">
        <v>263</v>
      </c>
      <c r="I5" s="59" t="s">
        <v>263</v>
      </c>
      <c r="J5" s="59" t="s">
        <v>263</v>
      </c>
      <c r="K5" s="59" t="s">
        <v>263</v>
      </c>
      <c r="L5" s="59" t="s">
        <v>263</v>
      </c>
      <c r="M5" s="59" t="s">
        <v>263</v>
      </c>
      <c r="N5" s="59" t="s">
        <v>263</v>
      </c>
      <c r="O5" s="59" t="s">
        <v>263</v>
      </c>
      <c r="P5" s="34" t="s">
        <v>7</v>
      </c>
      <c r="Q5" s="34" t="s">
        <v>7</v>
      </c>
      <c r="R5" s="34" t="s">
        <v>7</v>
      </c>
      <c r="S5" s="34" t="s">
        <v>7</v>
      </c>
      <c r="T5" s="34" t="s">
        <v>7</v>
      </c>
      <c r="U5" s="34" t="s">
        <v>7</v>
      </c>
      <c r="V5" s="34" t="s">
        <v>7</v>
      </c>
      <c r="W5" s="34" t="s">
        <v>7</v>
      </c>
      <c r="X5" s="34" t="s">
        <v>7</v>
      </c>
      <c r="Y5" s="34" t="s">
        <v>7</v>
      </c>
      <c r="Z5" s="35" t="s">
        <v>8</v>
      </c>
      <c r="AA5" s="35" t="s">
        <v>8</v>
      </c>
      <c r="AB5" s="35" t="s">
        <v>8</v>
      </c>
      <c r="AC5" s="35" t="s">
        <v>8</v>
      </c>
      <c r="AD5" s="35" t="s">
        <v>8</v>
      </c>
      <c r="AE5" s="35" t="s">
        <v>8</v>
      </c>
      <c r="AF5" s="35" t="s">
        <v>8</v>
      </c>
      <c r="AG5" s="35" t="s">
        <v>8</v>
      </c>
      <c r="AH5" s="35" t="s">
        <v>8</v>
      </c>
      <c r="AI5" s="35" t="s">
        <v>8</v>
      </c>
      <c r="AJ5" s="36" t="s">
        <v>9</v>
      </c>
      <c r="AK5" s="36" t="s">
        <v>9</v>
      </c>
      <c r="AL5" s="36" t="s">
        <v>9</v>
      </c>
      <c r="AM5" s="36" t="s">
        <v>9</v>
      </c>
      <c r="AN5" s="36" t="s">
        <v>9</v>
      </c>
      <c r="AO5" s="36" t="s">
        <v>9</v>
      </c>
      <c r="AP5" s="36" t="s">
        <v>9</v>
      </c>
      <c r="AQ5" s="36" t="s">
        <v>9</v>
      </c>
      <c r="AR5" s="36" t="s">
        <v>9</v>
      </c>
      <c r="AS5" s="36" t="s">
        <v>9</v>
      </c>
      <c r="AT5" s="37" t="s">
        <v>10</v>
      </c>
      <c r="AU5" s="37" t="s">
        <v>10</v>
      </c>
      <c r="AV5" s="37" t="s">
        <v>10</v>
      </c>
      <c r="AW5" s="37" t="s">
        <v>10</v>
      </c>
      <c r="AX5" s="37" t="s">
        <v>10</v>
      </c>
      <c r="AY5" s="37" t="s">
        <v>10</v>
      </c>
      <c r="AZ5" s="37" t="s">
        <v>10</v>
      </c>
      <c r="BA5" s="37" t="s">
        <v>10</v>
      </c>
      <c r="BB5" s="37" t="s">
        <v>10</v>
      </c>
      <c r="BC5" s="37" t="s">
        <v>10</v>
      </c>
      <c r="BD5" s="251"/>
      <c r="BE5" s="59" t="s">
        <v>263</v>
      </c>
      <c r="BF5" s="59" t="s">
        <v>263</v>
      </c>
      <c r="BG5" s="59" t="s">
        <v>263</v>
      </c>
      <c r="BH5" s="59" t="s">
        <v>263</v>
      </c>
      <c r="BI5" s="59" t="s">
        <v>263</v>
      </c>
      <c r="BJ5" s="59" t="s">
        <v>263</v>
      </c>
      <c r="BK5" s="59" t="s">
        <v>263</v>
      </c>
      <c r="BL5" s="59" t="s">
        <v>263</v>
      </c>
      <c r="BM5" s="59" t="s">
        <v>263</v>
      </c>
      <c r="BN5" s="59" t="s">
        <v>263</v>
      </c>
      <c r="BO5" s="34" t="s">
        <v>7</v>
      </c>
      <c r="BP5" s="34" t="s">
        <v>7</v>
      </c>
      <c r="BQ5" s="34" t="s">
        <v>7</v>
      </c>
      <c r="BR5" s="34" t="s">
        <v>7</v>
      </c>
      <c r="BS5" s="34" t="s">
        <v>7</v>
      </c>
      <c r="BT5" s="34" t="s">
        <v>7</v>
      </c>
      <c r="BU5" s="34" t="s">
        <v>7</v>
      </c>
      <c r="BV5" s="34" t="s">
        <v>7</v>
      </c>
      <c r="BW5" s="34" t="s">
        <v>7</v>
      </c>
      <c r="BX5" s="34" t="s">
        <v>7</v>
      </c>
      <c r="BY5" s="35" t="s">
        <v>8</v>
      </c>
      <c r="BZ5" s="35" t="s">
        <v>8</v>
      </c>
      <c r="CA5" s="35" t="s">
        <v>8</v>
      </c>
      <c r="CB5" s="35" t="s">
        <v>8</v>
      </c>
      <c r="CC5" s="35" t="s">
        <v>8</v>
      </c>
      <c r="CD5" s="35" t="s">
        <v>8</v>
      </c>
      <c r="CE5" s="35" t="s">
        <v>8</v>
      </c>
      <c r="CF5" s="35" t="s">
        <v>8</v>
      </c>
      <c r="CG5" s="35" t="s">
        <v>8</v>
      </c>
      <c r="CH5" s="35" t="s">
        <v>8</v>
      </c>
      <c r="CI5" s="36" t="s">
        <v>9</v>
      </c>
      <c r="CJ5" s="36" t="s">
        <v>9</v>
      </c>
      <c r="CK5" s="36" t="s">
        <v>9</v>
      </c>
      <c r="CL5" s="36" t="s">
        <v>9</v>
      </c>
      <c r="CM5" s="36" t="s">
        <v>9</v>
      </c>
      <c r="CN5" s="36" t="s">
        <v>9</v>
      </c>
      <c r="CO5" s="36" t="s">
        <v>9</v>
      </c>
      <c r="CP5" s="36" t="s">
        <v>9</v>
      </c>
      <c r="CQ5" s="36" t="s">
        <v>9</v>
      </c>
      <c r="CR5" s="36" t="s">
        <v>9</v>
      </c>
      <c r="CS5" s="37" t="s">
        <v>10</v>
      </c>
      <c r="CT5" s="37" t="s">
        <v>10</v>
      </c>
      <c r="CU5" s="37" t="s">
        <v>10</v>
      </c>
      <c r="CV5" s="37" t="s">
        <v>10</v>
      </c>
      <c r="CW5" s="37" t="s">
        <v>10</v>
      </c>
      <c r="CX5" s="37" t="s">
        <v>10</v>
      </c>
      <c r="CY5" s="37" t="s">
        <v>10</v>
      </c>
      <c r="CZ5" s="37" t="s">
        <v>10</v>
      </c>
      <c r="DA5" s="37" t="s">
        <v>10</v>
      </c>
      <c r="DB5" s="37" t="s">
        <v>10</v>
      </c>
      <c r="DC5" s="440"/>
    </row>
    <row r="6" spans="1:107" ht="80.099999999999994" customHeight="1" thickTop="1" thickBot="1" x14ac:dyDescent="0.25">
      <c r="A6" s="244"/>
      <c r="B6" s="645" t="s">
        <v>120</v>
      </c>
      <c r="C6" s="489" t="s">
        <v>121</v>
      </c>
      <c r="D6" s="49" t="s">
        <v>24</v>
      </c>
      <c r="E6" s="39" t="s">
        <v>122</v>
      </c>
      <c r="F6" s="39" t="str">
        <f>$O6</f>
        <v>Total number of suppliers (per technology, product or service. Use S4 below for component suppliers and aftersale services)</v>
      </c>
      <c r="G6" s="39" t="str">
        <f t="shared" ref="G6:N16" si="0">$O6</f>
        <v>Total number of suppliers (per technology, product or service. Use S4 below for component suppliers and aftersale services)</v>
      </c>
      <c r="H6" s="39" t="str">
        <f t="shared" si="0"/>
        <v>Total number of suppliers (per technology, product or service. Use S4 below for component suppliers and aftersale services)</v>
      </c>
      <c r="I6" s="39" t="str">
        <f t="shared" si="0"/>
        <v>Total number of suppliers (per technology, product or service. Use S4 below for component suppliers and aftersale services)</v>
      </c>
      <c r="J6" s="39" t="s">
        <v>703</v>
      </c>
      <c r="K6" s="39" t="str">
        <f t="shared" si="0"/>
        <v>Total number of suppliers (per technology, product or service. Use S4 below for component suppliers and aftersale services)</v>
      </c>
      <c r="L6" s="39" t="str">
        <f t="shared" si="0"/>
        <v>Total number of suppliers (per technology, product or service. Use S4 below for component suppliers and aftersale services)</v>
      </c>
      <c r="M6" s="39" t="str">
        <f t="shared" si="0"/>
        <v>Total number of suppliers (per technology, product or service. Use S4 below for component suppliers and aftersale services)</v>
      </c>
      <c r="N6" s="39" t="str">
        <f t="shared" si="0"/>
        <v>Total number of suppliers (per technology, product or service. Use S4 below for component suppliers and aftersale services)</v>
      </c>
      <c r="O6" s="39" t="s">
        <v>1046</v>
      </c>
      <c r="P6" s="40" t="str">
        <f>$Y6</f>
        <v>No (or very few) businesses</v>
      </c>
      <c r="Q6" s="40" t="str">
        <f t="shared" ref="Q6:X16" si="1">$Y6</f>
        <v>No (or very few) businesses</v>
      </c>
      <c r="R6" s="40" t="str">
        <f t="shared" si="1"/>
        <v>No (or very few) businesses</v>
      </c>
      <c r="S6" s="40" t="str">
        <f t="shared" si="1"/>
        <v>No (or very few) businesses</v>
      </c>
      <c r="T6" s="40" t="str">
        <f t="shared" si="1"/>
        <v>No (or very few) businesses</v>
      </c>
      <c r="U6" s="40" t="str">
        <f t="shared" si="1"/>
        <v>No (or very few) businesses</v>
      </c>
      <c r="V6" s="40" t="str">
        <f t="shared" si="1"/>
        <v>No (or very few) businesses</v>
      </c>
      <c r="W6" s="40" t="str">
        <f t="shared" si="1"/>
        <v>No (or very few) businesses</v>
      </c>
      <c r="X6" s="40" t="str">
        <f t="shared" si="1"/>
        <v>No (or very few) businesses</v>
      </c>
      <c r="Y6" s="40" t="s">
        <v>441</v>
      </c>
      <c r="Z6" s="41" t="str">
        <f>$AI6</f>
        <v>Few businesses</v>
      </c>
      <c r="AA6" s="41" t="str">
        <f t="shared" ref="AA6:AH16" si="2">$AI6</f>
        <v>Few businesses</v>
      </c>
      <c r="AB6" s="41" t="str">
        <f t="shared" si="2"/>
        <v>Few businesses</v>
      </c>
      <c r="AC6" s="41" t="str">
        <f t="shared" si="2"/>
        <v>Few businesses</v>
      </c>
      <c r="AD6" s="41" t="str">
        <f t="shared" si="2"/>
        <v>Few businesses</v>
      </c>
      <c r="AE6" s="41" t="str">
        <f t="shared" si="2"/>
        <v>Few businesses</v>
      </c>
      <c r="AF6" s="41" t="str">
        <f t="shared" si="2"/>
        <v>Few businesses</v>
      </c>
      <c r="AG6" s="41" t="str">
        <f t="shared" si="2"/>
        <v>Few businesses</v>
      </c>
      <c r="AH6" s="41" t="str">
        <f t="shared" si="2"/>
        <v>Few businesses</v>
      </c>
      <c r="AI6" s="41" t="s">
        <v>442</v>
      </c>
      <c r="AJ6" s="42" t="str">
        <f>$AS6</f>
        <v>Increasing amount of new businesses entering the market</v>
      </c>
      <c r="AK6" s="42" t="str">
        <f t="shared" ref="AK6:AR16" si="3">$AS6</f>
        <v>Increasing amount of new businesses entering the market</v>
      </c>
      <c r="AL6" s="42" t="str">
        <f t="shared" si="3"/>
        <v>Increasing amount of new businesses entering the market</v>
      </c>
      <c r="AM6" s="42" t="str">
        <f t="shared" si="3"/>
        <v>Increasing amount of new businesses entering the market</v>
      </c>
      <c r="AN6" s="42" t="str">
        <f t="shared" si="3"/>
        <v>Increasing amount of new businesses entering the market</v>
      </c>
      <c r="AO6" s="42" t="str">
        <f t="shared" si="3"/>
        <v>Increasing amount of new businesses entering the market</v>
      </c>
      <c r="AP6" s="42" t="str">
        <f t="shared" si="3"/>
        <v>Increasing amount of new businesses entering the market</v>
      </c>
      <c r="AQ6" s="42" t="str">
        <f t="shared" si="3"/>
        <v>Increasing amount of new businesses entering the market</v>
      </c>
      <c r="AR6" s="42" t="str">
        <f t="shared" si="3"/>
        <v>Increasing amount of new businesses entering the market</v>
      </c>
      <c r="AS6" s="42" t="s">
        <v>443</v>
      </c>
      <c r="AT6" s="43" t="str">
        <f>$BC6</f>
        <v>Number of businesses starts to decrease. Takeovers / mergers as well as emergence of dominating businesses</v>
      </c>
      <c r="AU6" s="43" t="str">
        <f t="shared" ref="AU6:BB16" si="4">$BC6</f>
        <v>Number of businesses starts to decrease. Takeovers / mergers as well as emergence of dominating businesses</v>
      </c>
      <c r="AV6" s="43" t="str">
        <f t="shared" si="4"/>
        <v>Number of businesses starts to decrease. Takeovers / mergers as well as emergence of dominating businesses</v>
      </c>
      <c r="AW6" s="43" t="str">
        <f t="shared" si="4"/>
        <v>Number of businesses starts to decrease. Takeovers / mergers as well as emergence of dominating businesses</v>
      </c>
      <c r="AX6" s="43" t="str">
        <f t="shared" si="4"/>
        <v>Number of businesses starts to decrease. Takeovers / mergers as well as emergence of dominating businesses</v>
      </c>
      <c r="AY6" s="43" t="str">
        <f t="shared" si="4"/>
        <v>Number of businesses starts to decrease. Takeovers / mergers as well as emergence of dominating businesses</v>
      </c>
      <c r="AZ6" s="43" t="str">
        <f t="shared" si="4"/>
        <v>Number of businesses starts to decrease. Takeovers / mergers as well as emergence of dominating businesses</v>
      </c>
      <c r="BA6" s="43" t="str">
        <f t="shared" si="4"/>
        <v>Number of businesses starts to decrease. Takeovers / mergers as well as emergence of dominating businesses</v>
      </c>
      <c r="BB6" s="43" t="str">
        <f t="shared" si="4"/>
        <v>Number of businesses starts to decrease. Takeovers / mergers as well as emergence of dominating businesses</v>
      </c>
      <c r="BC6" s="43" t="s">
        <v>444</v>
      </c>
      <c r="BD6" s="244"/>
      <c r="BE6" s="39" t="str">
        <f>$BN6</f>
        <v>Nombre total de fournisseurs (par technologie / produit / service. Utilisez S4 ci-dessous pour les fournisseurs de composants et les services après-vente).</v>
      </c>
      <c r="BF6" s="39" t="str">
        <f t="shared" ref="BF6:BM16" si="5">$BN6</f>
        <v>Nombre total de fournisseurs (par technologie / produit / service. Utilisez S4 ci-dessous pour les fournisseurs de composants et les services après-vente).</v>
      </c>
      <c r="BG6" s="39" t="str">
        <f t="shared" si="5"/>
        <v>Nombre total de fournisseurs (par technologie / produit / service. Utilisez S4 ci-dessous pour les fournisseurs de composants et les services après-vente).</v>
      </c>
      <c r="BH6" s="39" t="str">
        <f t="shared" si="5"/>
        <v>Nombre total de fournisseurs (par technologie / produit / service. Utilisez S4 ci-dessous pour les fournisseurs de composants et les services après-vente).</v>
      </c>
      <c r="BI6" s="39" t="s">
        <v>842</v>
      </c>
      <c r="BJ6" s="39" t="str">
        <f t="shared" si="5"/>
        <v>Nombre total de fournisseurs (par technologie / produit / service. Utilisez S4 ci-dessous pour les fournisseurs de composants et les services après-vente).</v>
      </c>
      <c r="BK6" s="39" t="str">
        <f t="shared" si="5"/>
        <v>Nombre total de fournisseurs (par technologie / produit / service. Utilisez S4 ci-dessous pour les fournisseurs de composants et les services après-vente).</v>
      </c>
      <c r="BL6" s="39" t="str">
        <f t="shared" si="5"/>
        <v>Nombre total de fournisseurs (par technologie / produit / service. Utilisez S4 ci-dessous pour les fournisseurs de composants et les services après-vente).</v>
      </c>
      <c r="BM6" s="39" t="str">
        <f t="shared" si="5"/>
        <v>Nombre total de fournisseurs (par technologie / produit / service. Utilisez S4 ci-dessous pour les fournisseurs de composants et les services après-vente).</v>
      </c>
      <c r="BN6" s="39" t="s">
        <v>841</v>
      </c>
      <c r="BO6" s="40" t="str">
        <f>$BX6</f>
        <v>Pas (ou très peu) d'entreprises.</v>
      </c>
      <c r="BP6" s="40" t="str">
        <f t="shared" ref="BP6:BW16" si="6">$BX6</f>
        <v>Pas (ou très peu) d'entreprises.</v>
      </c>
      <c r="BQ6" s="40" t="str">
        <f t="shared" si="6"/>
        <v>Pas (ou très peu) d'entreprises.</v>
      </c>
      <c r="BR6" s="40" t="str">
        <f t="shared" si="6"/>
        <v>Pas (ou très peu) d'entreprises.</v>
      </c>
      <c r="BS6" s="40" t="str">
        <f t="shared" si="6"/>
        <v>Pas (ou très peu) d'entreprises.</v>
      </c>
      <c r="BT6" s="40" t="str">
        <f t="shared" si="6"/>
        <v>Pas (ou très peu) d'entreprises.</v>
      </c>
      <c r="BU6" s="40" t="str">
        <f t="shared" si="6"/>
        <v>Pas (ou très peu) d'entreprises.</v>
      </c>
      <c r="BV6" s="40" t="str">
        <f t="shared" si="6"/>
        <v>Pas (ou très peu) d'entreprises.</v>
      </c>
      <c r="BW6" s="40" t="str">
        <f t="shared" si="6"/>
        <v>Pas (ou très peu) d'entreprises.</v>
      </c>
      <c r="BX6" s="40" t="s">
        <v>854</v>
      </c>
      <c r="BY6" s="41" t="str">
        <f>$CH6</f>
        <v>Peu d'entreprises</v>
      </c>
      <c r="BZ6" s="41" t="str">
        <f t="shared" ref="BZ6:CG16" si="7">$CH6</f>
        <v>Peu d'entreprises</v>
      </c>
      <c r="CA6" s="41" t="str">
        <f t="shared" si="7"/>
        <v>Peu d'entreprises</v>
      </c>
      <c r="CB6" s="41" t="str">
        <f t="shared" si="7"/>
        <v>Peu d'entreprises</v>
      </c>
      <c r="CC6" s="41" t="str">
        <f t="shared" si="7"/>
        <v>Peu d'entreprises</v>
      </c>
      <c r="CD6" s="41" t="str">
        <f t="shared" si="7"/>
        <v>Peu d'entreprises</v>
      </c>
      <c r="CE6" s="41" t="str">
        <f t="shared" si="7"/>
        <v>Peu d'entreprises</v>
      </c>
      <c r="CF6" s="41" t="str">
        <f t="shared" si="7"/>
        <v>Peu d'entreprises</v>
      </c>
      <c r="CG6" s="41" t="str">
        <f t="shared" si="7"/>
        <v>Peu d'entreprises</v>
      </c>
      <c r="CH6" s="41" t="s">
        <v>895</v>
      </c>
      <c r="CI6" s="42" t="str">
        <f>$CR6</f>
        <v>Augmentation du nombre de nouvelles entreprises entrant sur le marché</v>
      </c>
      <c r="CJ6" s="42" t="str">
        <f t="shared" ref="CJ6:CQ16" si="8">$CR6</f>
        <v>Augmentation du nombre de nouvelles entreprises entrant sur le marché</v>
      </c>
      <c r="CK6" s="42" t="str">
        <f t="shared" si="8"/>
        <v>Augmentation du nombre de nouvelles entreprises entrant sur le marché</v>
      </c>
      <c r="CL6" s="42" t="str">
        <f t="shared" si="8"/>
        <v>Augmentation du nombre de nouvelles entreprises entrant sur le marché</v>
      </c>
      <c r="CM6" s="42" t="str">
        <f t="shared" si="8"/>
        <v>Augmentation du nombre de nouvelles entreprises entrant sur le marché</v>
      </c>
      <c r="CN6" s="42" t="str">
        <f t="shared" si="8"/>
        <v>Augmentation du nombre de nouvelles entreprises entrant sur le marché</v>
      </c>
      <c r="CO6" s="42" t="str">
        <f t="shared" si="8"/>
        <v>Augmentation du nombre de nouvelles entreprises entrant sur le marché</v>
      </c>
      <c r="CP6" s="42" t="str">
        <f t="shared" si="8"/>
        <v>Augmentation du nombre de nouvelles entreprises entrant sur le marché</v>
      </c>
      <c r="CQ6" s="42" t="str">
        <f t="shared" si="8"/>
        <v>Augmentation du nombre de nouvelles entreprises entrant sur le marché</v>
      </c>
      <c r="CR6" s="42" t="s">
        <v>939</v>
      </c>
      <c r="CS6" s="43" t="str">
        <f>$DB6</f>
        <v>Le nombre d'entreprises commence à diminuer. Rachats/fusions et émergence d'entreprises dominantes.</v>
      </c>
      <c r="CT6" s="43" t="str">
        <f t="shared" ref="CT6:DA16" si="9">$DB6</f>
        <v>Le nombre d'entreprises commence à diminuer. Rachats/fusions et émergence d'entreprises dominantes.</v>
      </c>
      <c r="CU6" s="43" t="str">
        <f t="shared" si="9"/>
        <v>Le nombre d'entreprises commence à diminuer. Rachats/fusions et émergence d'entreprises dominantes.</v>
      </c>
      <c r="CV6" s="43" t="str">
        <f t="shared" si="9"/>
        <v>Le nombre d'entreprises commence à diminuer. Rachats/fusions et émergence d'entreprises dominantes.</v>
      </c>
      <c r="CW6" s="43" t="str">
        <f t="shared" si="9"/>
        <v>Le nombre d'entreprises commence à diminuer. Rachats/fusions et émergence d'entreprises dominantes.</v>
      </c>
      <c r="CX6" s="43" t="str">
        <f t="shared" si="9"/>
        <v>Le nombre d'entreprises commence à diminuer. Rachats/fusions et émergence d'entreprises dominantes.</v>
      </c>
      <c r="CY6" s="43" t="str">
        <f t="shared" si="9"/>
        <v>Le nombre d'entreprises commence à diminuer. Rachats/fusions et émergence d'entreprises dominantes.</v>
      </c>
      <c r="CZ6" s="43" t="str">
        <f t="shared" si="9"/>
        <v>Le nombre d'entreprises commence à diminuer. Rachats/fusions et émergence d'entreprises dominantes.</v>
      </c>
      <c r="DA6" s="43" t="str">
        <f t="shared" si="9"/>
        <v>Le nombre d'entreprises commence à diminuer. Rachats/fusions et émergence d'entreprises dominantes.</v>
      </c>
      <c r="DB6" s="43" t="s">
        <v>976</v>
      </c>
      <c r="DC6" s="441"/>
    </row>
    <row r="7" spans="1:107" ht="80.099999999999994" customHeight="1" thickTop="1" thickBot="1" x14ac:dyDescent="0.25">
      <c r="A7" s="244"/>
      <c r="B7" s="645"/>
      <c r="C7" s="489"/>
      <c r="D7" s="49" t="s">
        <v>26</v>
      </c>
      <c r="E7" s="39" t="s">
        <v>123</v>
      </c>
      <c r="F7" s="39" t="str">
        <f t="shared" ref="F7:F16" si="10">$O7</f>
        <v>Types of suppliers and business models including partnership agreements with other companies.</v>
      </c>
      <c r="G7" s="39" t="str">
        <f t="shared" si="0"/>
        <v>Types of suppliers and business models including partnership agreements with other companies.</v>
      </c>
      <c r="H7" s="39" t="str">
        <f t="shared" si="0"/>
        <v>Types of suppliers and business models including partnership agreements with other companies.</v>
      </c>
      <c r="I7" s="39" t="str">
        <f t="shared" si="0"/>
        <v>Types of suppliers and business models including partnership agreements with other companies.</v>
      </c>
      <c r="J7" s="39" t="s">
        <v>747</v>
      </c>
      <c r="K7" s="39" t="str">
        <f t="shared" si="0"/>
        <v>Types of suppliers and business models including partnership agreements with other companies.</v>
      </c>
      <c r="L7" s="39" t="str">
        <f t="shared" si="0"/>
        <v>Types of suppliers and business models including partnership agreements with other companies.</v>
      </c>
      <c r="M7" s="39" t="str">
        <f t="shared" si="0"/>
        <v>Types of suppliers and business models including partnership agreements with other companies.</v>
      </c>
      <c r="N7" s="39" t="str">
        <f t="shared" si="0"/>
        <v>Types of suppliers and business models including partnership agreements with other companies.</v>
      </c>
      <c r="O7" s="39" t="s">
        <v>746</v>
      </c>
      <c r="P7" s="40" t="str">
        <f>$Y7</f>
        <v>Introduced by donors/ NGOs as pilots without business or distribution models defined. No business partnerships.</v>
      </c>
      <c r="Q7" s="40" t="str">
        <f t="shared" si="1"/>
        <v>Introduced by donors/ NGOs as pilots without business or distribution models defined. No business partnerships.</v>
      </c>
      <c r="R7" s="40" t="str">
        <f t="shared" si="1"/>
        <v>Introduced by donors/ NGOs as pilots without business or distribution models defined. No business partnerships.</v>
      </c>
      <c r="S7" s="40" t="str">
        <f t="shared" si="1"/>
        <v>Introduced by donors/ NGOs as pilots without business or distribution models defined. No business partnerships.</v>
      </c>
      <c r="T7" s="40" t="str">
        <f t="shared" si="1"/>
        <v>Introduced by donors/ NGOs as pilots without business or distribution models defined. No business partnerships.</v>
      </c>
      <c r="U7" s="40" t="str">
        <f t="shared" si="1"/>
        <v>Introduced by donors/ NGOs as pilots without business or distribution models defined. No business partnerships.</v>
      </c>
      <c r="V7" s="40" t="str">
        <f t="shared" si="1"/>
        <v>Introduced by donors/ NGOs as pilots without business or distribution models defined. No business partnerships.</v>
      </c>
      <c r="W7" s="40" t="s">
        <v>445</v>
      </c>
      <c r="X7" s="40" t="str">
        <f t="shared" si="1"/>
        <v>Introduced by donors/ NGOs as pilots without business or distribution models defined. No business partnerships.</v>
      </c>
      <c r="Y7" s="40" t="s">
        <v>1049</v>
      </c>
      <c r="Z7" s="41" t="s">
        <v>446</v>
      </c>
      <c r="AA7" s="41" t="s">
        <v>447</v>
      </c>
      <c r="AB7" s="41" t="s">
        <v>447</v>
      </c>
      <c r="AC7" s="41" t="str">
        <f t="shared" si="2"/>
        <v>Businesses who are mostly producers or small import/retailers with a traditional business model. Have started engaging in business partnerships.</v>
      </c>
      <c r="AD7" s="41" t="s">
        <v>448</v>
      </c>
      <c r="AE7" s="41" t="str">
        <f t="shared" si="2"/>
        <v>Businesses who are mostly producers or small import/retailers with a traditional business model. Have started engaging in business partnerships.</v>
      </c>
      <c r="AF7" s="41" t="str">
        <f t="shared" si="2"/>
        <v>Businesses who are mostly producers or small import/retailers with a traditional business model. Have started engaging in business partnerships.</v>
      </c>
      <c r="AG7" s="41" t="str">
        <f t="shared" si="2"/>
        <v>Businesses who are mostly producers or small import/retailers with a traditional business model. Have started engaging in business partnerships.</v>
      </c>
      <c r="AH7" s="41" t="str">
        <f t="shared" si="2"/>
        <v>Businesses who are mostly producers or small import/retailers with a traditional business model. Have started engaging in business partnerships.</v>
      </c>
      <c r="AI7" s="41" t="s">
        <v>449</v>
      </c>
      <c r="AJ7" s="42" t="str">
        <f t="shared" ref="AJ7:AJ16" si="11">$AS7</f>
        <v>Different business and distribution models in place. Businesses have more partnerships (e.g. trade credit)</v>
      </c>
      <c r="AK7" s="42" t="str">
        <f t="shared" si="3"/>
        <v>Different business and distribution models in place. Businesses have more partnerships (e.g. trade credit)</v>
      </c>
      <c r="AL7" s="42" t="str">
        <f t="shared" si="3"/>
        <v>Different business and distribution models in place. Businesses have more partnerships (e.g. trade credit)</v>
      </c>
      <c r="AM7" s="42" t="str">
        <f t="shared" si="3"/>
        <v>Different business and distribution models in place. Businesses have more partnerships (e.g. trade credit)</v>
      </c>
      <c r="AN7" s="42" t="str">
        <f>$AS7</f>
        <v>Different business and distribution models in place. Businesses have more partnerships (e.g. trade credit)</v>
      </c>
      <c r="AO7" s="42" t="str">
        <f t="shared" si="3"/>
        <v>Different business and distribution models in place. Businesses have more partnerships (e.g. trade credit)</v>
      </c>
      <c r="AP7" s="42" t="str">
        <f t="shared" si="3"/>
        <v>Different business and distribution models in place. Businesses have more partnerships (e.g. trade credit)</v>
      </c>
      <c r="AQ7" s="42" t="str">
        <f t="shared" si="3"/>
        <v>Different business and distribution models in place. Businesses have more partnerships (e.g. trade credit)</v>
      </c>
      <c r="AR7" s="42" t="str">
        <f t="shared" si="3"/>
        <v>Different business and distribution models in place. Businesses have more partnerships (e.g. trade credit)</v>
      </c>
      <c r="AS7" s="42" t="s">
        <v>450</v>
      </c>
      <c r="AT7" s="43" t="str">
        <f t="shared" ref="AT7:AT16" si="12">$BC7</f>
        <v>Consolidated business models with many partnerships.</v>
      </c>
      <c r="AU7" s="43" t="str">
        <f t="shared" si="4"/>
        <v>Consolidated business models with many partnerships.</v>
      </c>
      <c r="AV7" s="43" t="str">
        <f t="shared" si="4"/>
        <v>Consolidated business models with many partnerships.</v>
      </c>
      <c r="AW7" s="43" t="str">
        <f t="shared" si="4"/>
        <v>Consolidated business models with many partnerships.</v>
      </c>
      <c r="AX7" s="43" t="str">
        <f t="shared" si="4"/>
        <v>Consolidated business models with many partnerships.</v>
      </c>
      <c r="AY7" s="43" t="str">
        <f t="shared" si="4"/>
        <v>Consolidated business models with many partnerships.</v>
      </c>
      <c r="AZ7" s="43" t="str">
        <f t="shared" si="4"/>
        <v>Consolidated business models with many partnerships.</v>
      </c>
      <c r="BA7" s="43" t="str">
        <f t="shared" si="4"/>
        <v>Consolidated business models with many partnerships.</v>
      </c>
      <c r="BB7" s="43" t="str">
        <f t="shared" si="4"/>
        <v>Consolidated business models with many partnerships.</v>
      </c>
      <c r="BC7" s="43" t="s">
        <v>451</v>
      </c>
      <c r="BD7" s="244"/>
      <c r="BE7" s="39" t="str">
        <f t="shared" ref="BE7:BE16" si="13">$BN7</f>
        <v>Types de fournisseurs et modèles d'affaire, y compris les accords de partenariat avec d'autres entreprises.</v>
      </c>
      <c r="BF7" s="39" t="str">
        <f t="shared" si="5"/>
        <v>Types de fournisseurs et modèles d'affaire, y compris les accords de partenariat avec d'autres entreprises.</v>
      </c>
      <c r="BG7" s="39" t="str">
        <f t="shared" si="5"/>
        <v>Types de fournisseurs et modèles d'affaire, y compris les accords de partenariat avec d'autres entreprises.</v>
      </c>
      <c r="BH7" s="39" t="str">
        <f t="shared" si="5"/>
        <v>Types de fournisseurs et modèles d'affaire, y compris les accords de partenariat avec d'autres entreprises.</v>
      </c>
      <c r="BI7" s="39" t="s">
        <v>843</v>
      </c>
      <c r="BJ7" s="39" t="str">
        <f t="shared" si="5"/>
        <v>Types de fournisseurs et modèles d'affaire, y compris les accords de partenariat avec d'autres entreprises.</v>
      </c>
      <c r="BK7" s="39" t="str">
        <f t="shared" si="5"/>
        <v>Types de fournisseurs et modèles d'affaire, y compris les accords de partenariat avec d'autres entreprises.</v>
      </c>
      <c r="BL7" s="39" t="str">
        <f t="shared" si="5"/>
        <v>Types de fournisseurs et modèles d'affaire, y compris les accords de partenariat avec d'autres entreprises.</v>
      </c>
      <c r="BM7" s="39" t="str">
        <f t="shared" si="5"/>
        <v>Types de fournisseurs et modèles d'affaire, y compris les accords de partenariat avec d'autres entreprises.</v>
      </c>
      <c r="BN7" s="39" t="s">
        <v>790</v>
      </c>
      <c r="BO7" s="40" t="str">
        <f t="shared" ref="BO7:BO16" si="14">$BX7</f>
        <v>Introduits par des bailleurs/ONG en tant que projets pilotes sans que des modèles d'entreprise ou de distribution aient été définis. Pas de partenariats commerciaux.</v>
      </c>
      <c r="BP7" s="40" t="str">
        <f t="shared" si="6"/>
        <v>Introduits par des bailleurs/ONG en tant que projets pilotes sans que des modèles d'entreprise ou de distribution aient été définis. Pas de partenariats commerciaux.</v>
      </c>
      <c r="BQ7" s="40" t="str">
        <f t="shared" si="6"/>
        <v>Introduits par des bailleurs/ONG en tant que projets pilotes sans que des modèles d'entreprise ou de distribution aient été définis. Pas de partenariats commerciaux.</v>
      </c>
      <c r="BR7" s="40" t="str">
        <f t="shared" si="6"/>
        <v>Introduits par des bailleurs/ONG en tant que projets pilotes sans que des modèles d'entreprise ou de distribution aient été définis. Pas de partenariats commerciaux.</v>
      </c>
      <c r="BS7" s="40" t="str">
        <f t="shared" si="6"/>
        <v>Introduits par des bailleurs/ONG en tant que projets pilotes sans que des modèles d'entreprise ou de distribution aient été définis. Pas de partenariats commerciaux.</v>
      </c>
      <c r="BT7" s="40" t="str">
        <f t="shared" si="6"/>
        <v>Introduits par des bailleurs/ONG en tant que projets pilotes sans que des modèles d'entreprise ou de distribution aient été définis. Pas de partenariats commerciaux.</v>
      </c>
      <c r="BU7" s="40" t="str">
        <f t="shared" si="6"/>
        <v>Introduits par des bailleurs/ONG en tant que projets pilotes sans que des modèles d'entreprise ou de distribution aient été définis. Pas de partenariats commerciaux.</v>
      </c>
      <c r="BV7" s="40" t="str">
        <f t="shared" si="6"/>
        <v>Introduits par des bailleurs/ONG en tant que projets pilotes sans que des modèles d'entreprise ou de distribution aient été définis. Pas de partenariats commerciaux.</v>
      </c>
      <c r="BW7" s="40" t="str">
        <f t="shared" si="6"/>
        <v>Introduits par des bailleurs/ONG en tant que projets pilotes sans que des modèles d'entreprise ou de distribution aient été définis. Pas de partenariats commerciaux.</v>
      </c>
      <c r="BX7" s="40" t="s">
        <v>860</v>
      </c>
      <c r="BY7" s="41" t="s">
        <v>901</v>
      </c>
      <c r="BZ7" s="41" t="s">
        <v>900</v>
      </c>
      <c r="CA7" s="41" t="s">
        <v>900</v>
      </c>
      <c r="CB7" s="41" t="str">
        <f t="shared" si="7"/>
        <v>Entreprises qui sont principalement des producteurs ou de petits importateurs/détaillants avec un modèle d'entreprise traditionnel. Elles ont commencé à s'engager dans des partenariats commerciaux.</v>
      </c>
      <c r="CC7" s="41" t="s">
        <v>899</v>
      </c>
      <c r="CD7" s="41" t="str">
        <f t="shared" si="7"/>
        <v>Entreprises qui sont principalement des producteurs ou de petits importateurs/détaillants avec un modèle d'entreprise traditionnel. Elles ont commencé à s'engager dans des partenariats commerciaux.</v>
      </c>
      <c r="CE7" s="41" t="str">
        <f t="shared" si="7"/>
        <v>Entreprises qui sont principalement des producteurs ou de petits importateurs/détaillants avec un modèle d'entreprise traditionnel. Elles ont commencé à s'engager dans des partenariats commerciaux.</v>
      </c>
      <c r="CF7" s="41" t="str">
        <f t="shared" si="7"/>
        <v>Entreprises qui sont principalement des producteurs ou de petits importateurs/détaillants avec un modèle d'entreprise traditionnel. Elles ont commencé à s'engager dans des partenariats commerciaux.</v>
      </c>
      <c r="CG7" s="41" t="str">
        <f t="shared" si="7"/>
        <v>Entreprises qui sont principalement des producteurs ou de petits importateurs/détaillants avec un modèle d'entreprise traditionnel. Elles ont commencé à s'engager dans des partenariats commerciaux.</v>
      </c>
      <c r="CH7" s="41" t="s">
        <v>898</v>
      </c>
      <c r="CI7" s="42" t="str">
        <f t="shared" ref="CI7:CI16" si="15">$CR7</f>
        <v>Différents modèles d'affaire et de distribution sont en place. Les entreprises ont davantage de partenariats (par exemple, crédit commercial).</v>
      </c>
      <c r="CJ7" s="42" t="str">
        <f t="shared" si="8"/>
        <v>Différents modèles d'affaire et de distribution sont en place. Les entreprises ont davantage de partenariats (par exemple, crédit commercial).</v>
      </c>
      <c r="CK7" s="42" t="str">
        <f t="shared" si="8"/>
        <v>Différents modèles d'affaire et de distribution sont en place. Les entreprises ont davantage de partenariats (par exemple, crédit commercial).</v>
      </c>
      <c r="CL7" s="42" t="str">
        <f t="shared" si="8"/>
        <v>Différents modèles d'affaire et de distribution sont en place. Les entreprises ont davantage de partenariats (par exemple, crédit commercial).</v>
      </c>
      <c r="CM7" s="42" t="str">
        <f t="shared" si="8"/>
        <v>Différents modèles d'affaire et de distribution sont en place. Les entreprises ont davantage de partenariats (par exemple, crédit commercial).</v>
      </c>
      <c r="CN7" s="42" t="str">
        <f t="shared" si="8"/>
        <v>Différents modèles d'affaire et de distribution sont en place. Les entreprises ont davantage de partenariats (par exemple, crédit commercial).</v>
      </c>
      <c r="CO7" s="42" t="str">
        <f t="shared" si="8"/>
        <v>Différents modèles d'affaire et de distribution sont en place. Les entreprises ont davantage de partenariats (par exemple, crédit commercial).</v>
      </c>
      <c r="CP7" s="42" t="str">
        <f t="shared" si="8"/>
        <v>Différents modèles d'affaire et de distribution sont en place. Les entreprises ont davantage de partenariats (par exemple, crédit commercial).</v>
      </c>
      <c r="CQ7" s="42" t="str">
        <f t="shared" si="8"/>
        <v>Différents modèles d'affaire et de distribution sont en place. Les entreprises ont davantage de partenariats (par exemple, crédit commercial).</v>
      </c>
      <c r="CR7" s="42" t="s">
        <v>940</v>
      </c>
      <c r="CS7" s="43" t="str">
        <f t="shared" ref="CS7:CS16" si="16">$DB7</f>
        <v>Modèles d'entreprise consolidés avec de nombreux partenariats.</v>
      </c>
      <c r="CT7" s="43" t="str">
        <f t="shared" si="9"/>
        <v>Modèles d'entreprise consolidés avec de nombreux partenariats.</v>
      </c>
      <c r="CU7" s="43" t="str">
        <f t="shared" si="9"/>
        <v>Modèles d'entreprise consolidés avec de nombreux partenariats.</v>
      </c>
      <c r="CV7" s="43" t="str">
        <f t="shared" si="9"/>
        <v>Modèles d'entreprise consolidés avec de nombreux partenariats.</v>
      </c>
      <c r="CW7" s="43" t="str">
        <f t="shared" si="9"/>
        <v>Modèles d'entreprise consolidés avec de nombreux partenariats.</v>
      </c>
      <c r="CX7" s="43" t="str">
        <f t="shared" si="9"/>
        <v>Modèles d'entreprise consolidés avec de nombreux partenariats.</v>
      </c>
      <c r="CY7" s="43" t="str">
        <f t="shared" si="9"/>
        <v>Modèles d'entreprise consolidés avec de nombreux partenariats.</v>
      </c>
      <c r="CZ7" s="43" t="str">
        <f t="shared" si="9"/>
        <v>Modèles d'entreprise consolidés avec de nombreux partenariats.</v>
      </c>
      <c r="DA7" s="43" t="str">
        <f t="shared" si="9"/>
        <v>Modèles d'entreprise consolidés avec de nombreux partenariats.</v>
      </c>
      <c r="DB7" s="43" t="s">
        <v>977</v>
      </c>
      <c r="DC7" s="441"/>
    </row>
    <row r="8" spans="1:107" ht="80.099999999999994" customHeight="1" thickTop="1" thickBot="1" x14ac:dyDescent="0.25">
      <c r="A8" s="244"/>
      <c r="B8" s="645"/>
      <c r="C8" s="489"/>
      <c r="D8" s="49" t="s">
        <v>27</v>
      </c>
      <c r="E8" s="39" t="s">
        <v>124</v>
      </c>
      <c r="F8" s="39" t="str">
        <f t="shared" si="10"/>
        <v>Percentage of registered/informal suppliers.</v>
      </c>
      <c r="G8" s="39" t="str">
        <f t="shared" si="0"/>
        <v>Percentage of registered/informal suppliers.</v>
      </c>
      <c r="H8" s="39" t="str">
        <f t="shared" si="0"/>
        <v>Percentage of registered/informal suppliers.</v>
      </c>
      <c r="I8" s="39" t="str">
        <f t="shared" si="0"/>
        <v>Percentage of registered/informal suppliers.</v>
      </c>
      <c r="J8" s="39" t="str">
        <f t="shared" si="0"/>
        <v>Percentage of registered/informal suppliers.</v>
      </c>
      <c r="K8" s="39" t="str">
        <f t="shared" si="0"/>
        <v>Percentage of registered/informal suppliers.</v>
      </c>
      <c r="L8" s="39" t="str">
        <f t="shared" si="0"/>
        <v>Percentage of registered/informal suppliers.</v>
      </c>
      <c r="M8" s="39" t="str">
        <f t="shared" si="0"/>
        <v>Percentage of registered/informal suppliers.</v>
      </c>
      <c r="N8" s="39" t="str">
        <f t="shared" si="0"/>
        <v>Percentage of registered/informal suppliers.</v>
      </c>
      <c r="O8" s="39" t="s">
        <v>748</v>
      </c>
      <c r="P8" s="40" t="str">
        <f t="shared" ref="P8:P16" si="17">$Y8</f>
        <v>Most businesses operate in informal settings (&gt;85% do not pay taxes).</v>
      </c>
      <c r="Q8" s="40" t="str">
        <f t="shared" si="1"/>
        <v>Most businesses operate in informal settings (&gt;85% do not pay taxes).</v>
      </c>
      <c r="R8" s="40" t="str">
        <f t="shared" si="1"/>
        <v>Most businesses operate in informal settings (&gt;85% do not pay taxes).</v>
      </c>
      <c r="S8" s="40" t="str">
        <f t="shared" si="1"/>
        <v>Most businesses operate in informal settings (&gt;85% do not pay taxes).</v>
      </c>
      <c r="T8" s="40" t="str">
        <f t="shared" si="1"/>
        <v>Most businesses operate in informal settings (&gt;85% do not pay taxes).</v>
      </c>
      <c r="U8" s="40" t="str">
        <f t="shared" si="1"/>
        <v>Most businesses operate in informal settings (&gt;85% do not pay taxes).</v>
      </c>
      <c r="V8" s="40" t="str">
        <f t="shared" si="1"/>
        <v>Most businesses operate in informal settings (&gt;85% do not pay taxes).</v>
      </c>
      <c r="W8" s="40" t="str">
        <f t="shared" si="1"/>
        <v>Most businesses operate in informal settings (&gt;85% do not pay taxes).</v>
      </c>
      <c r="X8" s="40" t="str">
        <f t="shared" si="1"/>
        <v>Most businesses operate in informal settings (&gt;85% do not pay taxes).</v>
      </c>
      <c r="Y8" s="40" t="s">
        <v>452</v>
      </c>
      <c r="Z8" s="41" t="str">
        <f t="shared" ref="Z8:Z16" si="18">$AI8</f>
        <v>Mostly, businesses operate in informal settings (67-84% do not pay tax)</v>
      </c>
      <c r="AA8" s="41" t="str">
        <f t="shared" si="2"/>
        <v>Mostly, businesses operate in informal settings (67-84% do not pay tax)</v>
      </c>
      <c r="AB8" s="41" t="str">
        <f t="shared" si="2"/>
        <v>Mostly, businesses operate in informal settings (67-84% do not pay tax)</v>
      </c>
      <c r="AC8" s="41" t="str">
        <f t="shared" si="2"/>
        <v>Mostly, businesses operate in informal settings (67-84% do not pay tax)</v>
      </c>
      <c r="AD8" s="41" t="str">
        <f t="shared" si="2"/>
        <v>Mostly, businesses operate in informal settings (67-84% do not pay tax)</v>
      </c>
      <c r="AE8" s="41" t="str">
        <f t="shared" si="2"/>
        <v>Mostly, businesses operate in informal settings (67-84% do not pay tax)</v>
      </c>
      <c r="AF8" s="41" t="str">
        <f t="shared" si="2"/>
        <v>Mostly, businesses operate in informal settings (67-84% do not pay tax)</v>
      </c>
      <c r="AG8" s="41" t="str">
        <f t="shared" si="2"/>
        <v>Mostly, businesses operate in informal settings (67-84% do not pay tax)</v>
      </c>
      <c r="AH8" s="41" t="str">
        <f t="shared" si="2"/>
        <v>Mostly, businesses operate in informal settings (67-84% do not pay tax)</v>
      </c>
      <c r="AI8" s="41" t="s">
        <v>453</v>
      </c>
      <c r="AJ8" s="42" t="str">
        <f t="shared" si="11"/>
        <v>More businesses are formally registered, (33-49%).</v>
      </c>
      <c r="AK8" s="42" t="str">
        <f t="shared" si="3"/>
        <v>More businesses are formally registered, (33-49%).</v>
      </c>
      <c r="AL8" s="42" t="str">
        <f t="shared" si="3"/>
        <v>More businesses are formally registered, (33-49%).</v>
      </c>
      <c r="AM8" s="42" t="str">
        <f t="shared" si="3"/>
        <v>More businesses are formally registered, (33-49%).</v>
      </c>
      <c r="AN8" s="42" t="str">
        <f t="shared" si="3"/>
        <v>More businesses are formally registered, (33-49%).</v>
      </c>
      <c r="AO8" s="42" t="str">
        <f t="shared" si="3"/>
        <v>More businesses are formally registered, (33-49%).</v>
      </c>
      <c r="AP8" s="42" t="str">
        <f t="shared" si="3"/>
        <v>More businesses are formally registered, (33-49%).</v>
      </c>
      <c r="AQ8" s="42" t="str">
        <f t="shared" si="3"/>
        <v>More businesses are formally registered, (33-49%).</v>
      </c>
      <c r="AR8" s="42" t="str">
        <f t="shared" si="3"/>
        <v>More businesses are formally registered, (33-49%).</v>
      </c>
      <c r="AS8" s="42" t="s">
        <v>454</v>
      </c>
      <c r="AT8" s="43" t="str">
        <f t="shared" si="12"/>
        <v>The majority are formally registered businesses.</v>
      </c>
      <c r="AU8" s="43" t="str">
        <f t="shared" si="4"/>
        <v>The majority are formally registered businesses.</v>
      </c>
      <c r="AV8" s="43" t="str">
        <f t="shared" si="4"/>
        <v>The majority are formally registered businesses.</v>
      </c>
      <c r="AW8" s="43" t="str">
        <f t="shared" si="4"/>
        <v>The majority are formally registered businesses.</v>
      </c>
      <c r="AX8" s="43" t="str">
        <f t="shared" si="4"/>
        <v>The majority are formally registered businesses.</v>
      </c>
      <c r="AY8" s="43" t="str">
        <f t="shared" si="4"/>
        <v>The majority are formally registered businesses.</v>
      </c>
      <c r="AZ8" s="43" t="str">
        <f t="shared" si="4"/>
        <v>The majority are formally registered businesses.</v>
      </c>
      <c r="BA8" s="43" t="str">
        <f t="shared" si="4"/>
        <v>The majority are formally registered businesses.</v>
      </c>
      <c r="BB8" s="43" t="str">
        <f t="shared" si="4"/>
        <v>The majority are formally registered businesses.</v>
      </c>
      <c r="BC8" s="43" t="s">
        <v>455</v>
      </c>
      <c r="BD8" s="244"/>
      <c r="BE8" s="39" t="str">
        <f t="shared" si="13"/>
        <v>Pourcentage de fournisseurs enregistrés/informels.</v>
      </c>
      <c r="BF8" s="39" t="str">
        <f t="shared" si="5"/>
        <v>Pourcentage de fournisseurs enregistrés/informels.</v>
      </c>
      <c r="BG8" s="39" t="str">
        <f t="shared" si="5"/>
        <v>Pourcentage de fournisseurs enregistrés/informels.</v>
      </c>
      <c r="BH8" s="39" t="str">
        <f t="shared" si="5"/>
        <v>Pourcentage de fournisseurs enregistrés/informels.</v>
      </c>
      <c r="BI8" s="39" t="str">
        <f t="shared" si="5"/>
        <v>Pourcentage de fournisseurs enregistrés/informels.</v>
      </c>
      <c r="BJ8" s="39" t="str">
        <f t="shared" si="5"/>
        <v>Pourcentage de fournisseurs enregistrés/informels.</v>
      </c>
      <c r="BK8" s="39" t="str">
        <f t="shared" si="5"/>
        <v>Pourcentage de fournisseurs enregistrés/informels.</v>
      </c>
      <c r="BL8" s="39" t="str">
        <f t="shared" si="5"/>
        <v>Pourcentage de fournisseurs enregistrés/informels.</v>
      </c>
      <c r="BM8" s="39" t="str">
        <f t="shared" si="5"/>
        <v>Pourcentage de fournisseurs enregistrés/informels.</v>
      </c>
      <c r="BN8" s="39" t="s">
        <v>791</v>
      </c>
      <c r="BO8" s="40" t="str">
        <f t="shared" si="14"/>
        <v>La plupart des entreprises opèrent dans un cadre informel (&gt;85% ne paient pas d'impôts).</v>
      </c>
      <c r="BP8" s="40" t="str">
        <f t="shared" si="6"/>
        <v>La plupart des entreprises opèrent dans un cadre informel (&gt;85% ne paient pas d'impôts).</v>
      </c>
      <c r="BQ8" s="40" t="str">
        <f t="shared" si="6"/>
        <v>La plupart des entreprises opèrent dans un cadre informel (&gt;85% ne paient pas d'impôts).</v>
      </c>
      <c r="BR8" s="40" t="str">
        <f t="shared" si="6"/>
        <v>La plupart des entreprises opèrent dans un cadre informel (&gt;85% ne paient pas d'impôts).</v>
      </c>
      <c r="BS8" s="40" t="str">
        <f t="shared" si="6"/>
        <v>La plupart des entreprises opèrent dans un cadre informel (&gt;85% ne paient pas d'impôts).</v>
      </c>
      <c r="BT8" s="40" t="str">
        <f t="shared" si="6"/>
        <v>La plupart des entreprises opèrent dans un cadre informel (&gt;85% ne paient pas d'impôts).</v>
      </c>
      <c r="BU8" s="40" t="str">
        <f t="shared" si="6"/>
        <v>La plupart des entreprises opèrent dans un cadre informel (&gt;85% ne paient pas d'impôts).</v>
      </c>
      <c r="BV8" s="40" t="str">
        <f t="shared" si="6"/>
        <v>La plupart des entreprises opèrent dans un cadre informel (&gt;85% ne paient pas d'impôts).</v>
      </c>
      <c r="BW8" s="40" t="str">
        <f t="shared" si="6"/>
        <v>La plupart des entreprises opèrent dans un cadre informel (&gt;85% ne paient pas d'impôts).</v>
      </c>
      <c r="BX8" s="40" t="s">
        <v>855</v>
      </c>
      <c r="BY8" s="41" t="str">
        <f t="shared" ref="BY8:BY16" si="19">$CH8</f>
        <v>La plupart des entreprises opèrent dans un cadre informel (67 à 84 % ne paient pas d'impôts).</v>
      </c>
      <c r="BZ8" s="41" t="str">
        <f t="shared" si="7"/>
        <v>La plupart des entreprises opèrent dans un cadre informel (67 à 84 % ne paient pas d'impôts).</v>
      </c>
      <c r="CA8" s="41" t="str">
        <f t="shared" si="7"/>
        <v>La plupart des entreprises opèrent dans un cadre informel (67 à 84 % ne paient pas d'impôts).</v>
      </c>
      <c r="CB8" s="41" t="str">
        <f t="shared" si="7"/>
        <v>La plupart des entreprises opèrent dans un cadre informel (67 à 84 % ne paient pas d'impôts).</v>
      </c>
      <c r="CC8" s="41" t="str">
        <f t="shared" si="7"/>
        <v>La plupart des entreprises opèrent dans un cadre informel (67 à 84 % ne paient pas d'impôts).</v>
      </c>
      <c r="CD8" s="41" t="str">
        <f t="shared" si="7"/>
        <v>La plupart des entreprises opèrent dans un cadre informel (67 à 84 % ne paient pas d'impôts).</v>
      </c>
      <c r="CE8" s="41" t="str">
        <f t="shared" si="7"/>
        <v>La plupart des entreprises opèrent dans un cadre informel (67 à 84 % ne paient pas d'impôts).</v>
      </c>
      <c r="CF8" s="41" t="str">
        <f t="shared" si="7"/>
        <v>La plupart des entreprises opèrent dans un cadre informel (67 à 84 % ne paient pas d'impôts).</v>
      </c>
      <c r="CG8" s="41" t="str">
        <f t="shared" si="7"/>
        <v>La plupart des entreprises opèrent dans un cadre informel (67 à 84 % ne paient pas d'impôts).</v>
      </c>
      <c r="CH8" s="41" t="s">
        <v>902</v>
      </c>
      <c r="CI8" s="42" t="str">
        <f t="shared" si="15"/>
        <v>Davantage d'entreprises sont formellement enregistrées (33-49%).</v>
      </c>
      <c r="CJ8" s="42" t="str">
        <f t="shared" si="8"/>
        <v>Davantage d'entreprises sont formellement enregistrées (33-49%).</v>
      </c>
      <c r="CK8" s="42" t="str">
        <f t="shared" si="8"/>
        <v>Davantage d'entreprises sont formellement enregistrées (33-49%).</v>
      </c>
      <c r="CL8" s="42" t="str">
        <f t="shared" si="8"/>
        <v>Davantage d'entreprises sont formellement enregistrées (33-49%).</v>
      </c>
      <c r="CM8" s="42" t="str">
        <f t="shared" si="8"/>
        <v>Davantage d'entreprises sont formellement enregistrées (33-49%).</v>
      </c>
      <c r="CN8" s="42" t="str">
        <f t="shared" si="8"/>
        <v>Davantage d'entreprises sont formellement enregistrées (33-49%).</v>
      </c>
      <c r="CO8" s="42" t="str">
        <f t="shared" si="8"/>
        <v>Davantage d'entreprises sont formellement enregistrées (33-49%).</v>
      </c>
      <c r="CP8" s="42" t="str">
        <f t="shared" si="8"/>
        <v>Davantage d'entreprises sont formellement enregistrées (33-49%).</v>
      </c>
      <c r="CQ8" s="42" t="str">
        <f t="shared" si="8"/>
        <v>Davantage d'entreprises sont formellement enregistrées (33-49%).</v>
      </c>
      <c r="CR8" s="42" t="s">
        <v>941</v>
      </c>
      <c r="CS8" s="43" t="str">
        <f t="shared" si="16"/>
        <v>La majorité des entreprises sont formellement enregistrées.</v>
      </c>
      <c r="CT8" s="43" t="str">
        <f t="shared" si="9"/>
        <v>La majorité des entreprises sont formellement enregistrées.</v>
      </c>
      <c r="CU8" s="43" t="str">
        <f t="shared" si="9"/>
        <v>La majorité des entreprises sont formellement enregistrées.</v>
      </c>
      <c r="CV8" s="43" t="str">
        <f t="shared" si="9"/>
        <v>La majorité des entreprises sont formellement enregistrées.</v>
      </c>
      <c r="CW8" s="43" t="str">
        <f t="shared" si="9"/>
        <v>La majorité des entreprises sont formellement enregistrées.</v>
      </c>
      <c r="CX8" s="43" t="str">
        <f t="shared" si="9"/>
        <v>La majorité des entreprises sont formellement enregistrées.</v>
      </c>
      <c r="CY8" s="43" t="str">
        <f t="shared" si="9"/>
        <v>La majorité des entreprises sont formellement enregistrées.</v>
      </c>
      <c r="CZ8" s="43" t="str">
        <f t="shared" si="9"/>
        <v>La majorité des entreprises sont formellement enregistrées.</v>
      </c>
      <c r="DA8" s="43" t="str">
        <f t="shared" si="9"/>
        <v>La majorité des entreprises sont formellement enregistrées.</v>
      </c>
      <c r="DB8" s="43" t="s">
        <v>978</v>
      </c>
      <c r="DC8" s="441"/>
    </row>
    <row r="9" spans="1:107" ht="80.099999999999994" customHeight="1" thickTop="1" thickBot="1" x14ac:dyDescent="0.25">
      <c r="A9" s="244"/>
      <c r="B9" s="645"/>
      <c r="C9" s="489"/>
      <c r="D9" s="49" t="s">
        <v>29</v>
      </c>
      <c r="E9" s="39" t="s">
        <v>704</v>
      </c>
      <c r="F9" s="39" t="str">
        <f t="shared" si="10"/>
        <v>Number of employees of a typical supplier.</v>
      </c>
      <c r="G9" s="39" t="str">
        <f t="shared" si="0"/>
        <v>Number of employees of a typical supplier.</v>
      </c>
      <c r="H9" s="39" t="str">
        <f t="shared" si="0"/>
        <v>Number of employees of a typical supplier.</v>
      </c>
      <c r="I9" s="39" t="str">
        <f t="shared" si="0"/>
        <v>Number of employees of a typical supplier.</v>
      </c>
      <c r="J9" s="39" t="s">
        <v>831</v>
      </c>
      <c r="K9" s="39" t="str">
        <f t="shared" si="0"/>
        <v>Number of employees of a typical supplier.</v>
      </c>
      <c r="L9" s="39" t="str">
        <f t="shared" si="0"/>
        <v>Number of employees of a typical supplier.</v>
      </c>
      <c r="M9" s="39" t="str">
        <f t="shared" si="0"/>
        <v>Number of employees of a typical supplier.</v>
      </c>
      <c r="N9" s="39" t="str">
        <f t="shared" si="0"/>
        <v>Number of employees of a typical supplier.</v>
      </c>
      <c r="O9" s="39" t="s">
        <v>749</v>
      </c>
      <c r="P9" s="40" t="s">
        <v>456</v>
      </c>
      <c r="Q9" s="40" t="str">
        <f t="shared" si="1"/>
        <v>No (or very few) jobs created; 1-5 employees per business.</v>
      </c>
      <c r="R9" s="40" t="str">
        <f t="shared" si="1"/>
        <v>No (or very few) jobs created; 1-5 employees per business.</v>
      </c>
      <c r="S9" s="40" t="str">
        <f t="shared" si="1"/>
        <v>No (or very few) jobs created; 1-5 employees per business.</v>
      </c>
      <c r="T9" s="40" t="s">
        <v>456</v>
      </c>
      <c r="U9" s="40" t="str">
        <f t="shared" si="1"/>
        <v>No (or very few) jobs created; 1-5 employees per business.</v>
      </c>
      <c r="V9" s="40" t="str">
        <f t="shared" si="1"/>
        <v>No (or very few) jobs created; 1-5 employees per business.</v>
      </c>
      <c r="W9" s="40" t="str">
        <f t="shared" si="1"/>
        <v>No (or very few) jobs created; 1-5 employees per business.</v>
      </c>
      <c r="X9" s="40" t="str">
        <f t="shared" si="1"/>
        <v>No (or very few) jobs created; 1-5 employees per business.</v>
      </c>
      <c r="Y9" s="40" t="s">
        <v>457</v>
      </c>
      <c r="Z9" s="41" t="s">
        <v>458</v>
      </c>
      <c r="AA9" s="41" t="str">
        <f t="shared" si="2"/>
        <v>Low number of employees (below 20).</v>
      </c>
      <c r="AB9" s="41" t="str">
        <f t="shared" si="2"/>
        <v>Low number of employees (below 20).</v>
      </c>
      <c r="AC9" s="41" t="str">
        <f t="shared" si="2"/>
        <v>Low number of employees (below 20).</v>
      </c>
      <c r="AD9" s="41" t="str">
        <f t="shared" si="2"/>
        <v>Low number of employees (below 20).</v>
      </c>
      <c r="AE9" s="41" t="str">
        <f t="shared" si="2"/>
        <v>Low number of employees (below 20).</v>
      </c>
      <c r="AF9" s="41" t="str">
        <f t="shared" si="2"/>
        <v>Low number of employees (below 20).</v>
      </c>
      <c r="AG9" s="41" t="str">
        <f t="shared" si="2"/>
        <v>Low number of employees (below 20).</v>
      </c>
      <c r="AH9" s="41" t="str">
        <f t="shared" si="2"/>
        <v>Low number of employees (below 20).</v>
      </c>
      <c r="AI9" s="41" t="s">
        <v>459</v>
      </c>
      <c r="AJ9" s="42" t="str">
        <f t="shared" si="11"/>
        <v>Increasing number of personnel (20–99 employees) with larger players in the market and/or small businesses grow</v>
      </c>
      <c r="AK9" s="42" t="str">
        <f t="shared" si="3"/>
        <v>Increasing number of personnel (20–99 employees) with larger players in the market and/or small businesses grow</v>
      </c>
      <c r="AL9" s="42" t="str">
        <f t="shared" si="3"/>
        <v>Increasing number of personnel (20–99 employees) with larger players in the market and/or small businesses grow</v>
      </c>
      <c r="AM9" s="42" t="str">
        <f t="shared" si="3"/>
        <v>Increasing number of personnel (20–99 employees) with larger players in the market and/or small businesses grow</v>
      </c>
      <c r="AN9" s="42" t="str">
        <f t="shared" si="3"/>
        <v>Increasing number of personnel (20–99 employees) with larger players in the market and/or small businesses grow</v>
      </c>
      <c r="AO9" s="42" t="str">
        <f t="shared" si="3"/>
        <v>Increasing number of personnel (20–99 employees) with larger players in the market and/or small businesses grow</v>
      </c>
      <c r="AP9" s="42" t="str">
        <f t="shared" si="3"/>
        <v>Increasing number of personnel (20–99 employees) with larger players in the market and/or small businesses grow</v>
      </c>
      <c r="AQ9" s="42" t="str">
        <f t="shared" si="3"/>
        <v>Increasing number of personnel (20–99 employees) with larger players in the market and/or small businesses grow</v>
      </c>
      <c r="AR9" s="42" t="str">
        <f t="shared" si="3"/>
        <v>Increasing number of personnel (20–99 employees) with larger players in the market and/or small businesses grow</v>
      </c>
      <c r="AS9" s="42" t="s">
        <v>460</v>
      </c>
      <c r="AT9" s="43" t="str">
        <f t="shared" si="12"/>
        <v>Variety of businesses with a wide range of different personnel. Total number of jobs in the market is relatively stable.</v>
      </c>
      <c r="AU9" s="43" t="str">
        <f t="shared" si="4"/>
        <v>Variety of businesses with a wide range of different personnel. Total number of jobs in the market is relatively stable.</v>
      </c>
      <c r="AV9" s="43" t="str">
        <f t="shared" si="4"/>
        <v>Variety of businesses with a wide range of different personnel. Total number of jobs in the market is relatively stable.</v>
      </c>
      <c r="AW9" s="43" t="str">
        <f t="shared" si="4"/>
        <v>Variety of businesses with a wide range of different personnel. Total number of jobs in the market is relatively stable.</v>
      </c>
      <c r="AX9" s="43" t="str">
        <f t="shared" si="4"/>
        <v>Variety of businesses with a wide range of different personnel. Total number of jobs in the market is relatively stable.</v>
      </c>
      <c r="AY9" s="43" t="str">
        <f t="shared" si="4"/>
        <v>Variety of businesses with a wide range of different personnel. Total number of jobs in the market is relatively stable.</v>
      </c>
      <c r="AZ9" s="43" t="str">
        <f t="shared" si="4"/>
        <v>Variety of businesses with a wide range of different personnel. Total number of jobs in the market is relatively stable.</v>
      </c>
      <c r="BA9" s="43" t="str">
        <f t="shared" si="4"/>
        <v>Variety of businesses with a wide range of different personnel. Total number of jobs in the market is relatively stable.</v>
      </c>
      <c r="BB9" s="43" t="str">
        <f t="shared" si="4"/>
        <v>Variety of businesses with a wide range of different personnel. Total number of jobs in the market is relatively stable.</v>
      </c>
      <c r="BC9" s="43" t="s">
        <v>461</v>
      </c>
      <c r="BD9" s="244"/>
      <c r="BE9" s="39" t="str">
        <f t="shared" si="13"/>
        <v>Nombre d'employés d'un fournisseur typique.</v>
      </c>
      <c r="BF9" s="39" t="str">
        <f t="shared" si="5"/>
        <v>Nombre d'employés d'un fournisseur typique.</v>
      </c>
      <c r="BG9" s="39" t="str">
        <f t="shared" si="5"/>
        <v>Nombre d'employés d'un fournisseur typique.</v>
      </c>
      <c r="BH9" s="39" t="str">
        <f t="shared" si="5"/>
        <v>Nombre d'employés d'un fournisseur typique.</v>
      </c>
      <c r="BI9" s="39" t="s">
        <v>832</v>
      </c>
      <c r="BJ9" s="39" t="str">
        <f t="shared" si="5"/>
        <v>Nombre d'employés d'un fournisseur typique.</v>
      </c>
      <c r="BK9" s="39" t="str">
        <f t="shared" si="5"/>
        <v>Nombre d'employés d'un fournisseur typique.</v>
      </c>
      <c r="BL9" s="39" t="str">
        <f t="shared" si="5"/>
        <v>Nombre d'employés d'un fournisseur typique.</v>
      </c>
      <c r="BM9" s="39" t="str">
        <f t="shared" si="5"/>
        <v>Nombre d'employés d'un fournisseur typique.</v>
      </c>
      <c r="BN9" s="39" t="s">
        <v>792</v>
      </c>
      <c r="BO9" s="40" t="s">
        <v>857</v>
      </c>
      <c r="BP9" s="40" t="str">
        <f t="shared" si="6"/>
        <v>Pas (ou très peu) d'emplois créés ; 1 à 5 employés par entreprise.</v>
      </c>
      <c r="BQ9" s="40" t="str">
        <f t="shared" si="6"/>
        <v>Pas (ou très peu) d'emplois créés ; 1 à 5 employés par entreprise.</v>
      </c>
      <c r="BR9" s="40" t="str">
        <f t="shared" si="6"/>
        <v>Pas (ou très peu) d'emplois créés ; 1 à 5 employés par entreprise.</v>
      </c>
      <c r="BS9" s="40" t="s">
        <v>857</v>
      </c>
      <c r="BT9" s="40" t="str">
        <f t="shared" si="6"/>
        <v>Pas (ou très peu) d'emplois créés ; 1 à 5 employés par entreprise.</v>
      </c>
      <c r="BU9" s="40" t="str">
        <f t="shared" si="6"/>
        <v>Pas (ou très peu) d'emplois créés ; 1 à 5 employés par entreprise.</v>
      </c>
      <c r="BV9" s="40" t="str">
        <f t="shared" si="6"/>
        <v>Pas (ou très peu) d'emplois créés ; 1 à 5 employés par entreprise.</v>
      </c>
      <c r="BW9" s="40" t="str">
        <f t="shared" si="6"/>
        <v>Pas (ou très peu) d'emplois créés ; 1 à 5 employés par entreprise.</v>
      </c>
      <c r="BX9" s="40" t="s">
        <v>856</v>
      </c>
      <c r="BY9" s="41" t="s">
        <v>904</v>
      </c>
      <c r="BZ9" s="41" t="str">
        <f t="shared" si="7"/>
        <v>Faible nombre d'employés (moins de 20).</v>
      </c>
      <c r="CA9" s="41" t="str">
        <f t="shared" si="7"/>
        <v>Faible nombre d'employés (moins de 20).</v>
      </c>
      <c r="CB9" s="41" t="str">
        <f t="shared" si="7"/>
        <v>Faible nombre d'employés (moins de 20).</v>
      </c>
      <c r="CC9" s="41" t="str">
        <f t="shared" si="7"/>
        <v>Faible nombre d'employés (moins de 20).</v>
      </c>
      <c r="CD9" s="41" t="str">
        <f t="shared" si="7"/>
        <v>Faible nombre d'employés (moins de 20).</v>
      </c>
      <c r="CE9" s="41" t="str">
        <f t="shared" si="7"/>
        <v>Faible nombre d'employés (moins de 20).</v>
      </c>
      <c r="CF9" s="41" t="str">
        <f t="shared" si="7"/>
        <v>Faible nombre d'employés (moins de 20).</v>
      </c>
      <c r="CG9" s="41" t="str">
        <f t="shared" si="7"/>
        <v>Faible nombre d'employés (moins de 20).</v>
      </c>
      <c r="CH9" s="41" t="s">
        <v>903</v>
      </c>
      <c r="CI9" s="42" t="str">
        <f t="shared" si="15"/>
        <v>Augmentation du nombre d'employés (20-99 employés) chez les grands acteurs du marché et/ou les petites entreprises se développent.</v>
      </c>
      <c r="CJ9" s="42" t="str">
        <f t="shared" si="8"/>
        <v>Augmentation du nombre d'employés (20-99 employés) chez les grands acteurs du marché et/ou les petites entreprises se développent.</v>
      </c>
      <c r="CK9" s="42" t="str">
        <f t="shared" si="8"/>
        <v>Augmentation du nombre d'employés (20-99 employés) chez les grands acteurs du marché et/ou les petites entreprises se développent.</v>
      </c>
      <c r="CL9" s="42" t="str">
        <f t="shared" si="8"/>
        <v>Augmentation du nombre d'employés (20-99 employés) chez les grands acteurs du marché et/ou les petites entreprises se développent.</v>
      </c>
      <c r="CM9" s="42" t="str">
        <f t="shared" si="8"/>
        <v>Augmentation du nombre d'employés (20-99 employés) chez les grands acteurs du marché et/ou les petites entreprises se développent.</v>
      </c>
      <c r="CN9" s="42" t="str">
        <f t="shared" si="8"/>
        <v>Augmentation du nombre d'employés (20-99 employés) chez les grands acteurs du marché et/ou les petites entreprises se développent.</v>
      </c>
      <c r="CO9" s="42" t="str">
        <f t="shared" si="8"/>
        <v>Augmentation du nombre d'employés (20-99 employés) chez les grands acteurs du marché et/ou les petites entreprises se développent.</v>
      </c>
      <c r="CP9" s="42" t="str">
        <f t="shared" si="8"/>
        <v>Augmentation du nombre d'employés (20-99 employés) chez les grands acteurs du marché et/ou les petites entreprises se développent.</v>
      </c>
      <c r="CQ9" s="42" t="str">
        <f t="shared" si="8"/>
        <v>Augmentation du nombre d'employés (20-99 employés) chez les grands acteurs du marché et/ou les petites entreprises se développent.</v>
      </c>
      <c r="CR9" s="42" t="s">
        <v>942</v>
      </c>
      <c r="CS9" s="43" t="str">
        <f t="shared" si="16"/>
        <v>Variété d'entreprises avec un large éventail de personnel différent. Le nombre total d'emplois sur le marché est relativement stable.</v>
      </c>
      <c r="CT9" s="43" t="str">
        <f t="shared" si="9"/>
        <v>Variété d'entreprises avec un large éventail de personnel différent. Le nombre total d'emplois sur le marché est relativement stable.</v>
      </c>
      <c r="CU9" s="43" t="str">
        <f t="shared" si="9"/>
        <v>Variété d'entreprises avec un large éventail de personnel différent. Le nombre total d'emplois sur le marché est relativement stable.</v>
      </c>
      <c r="CV9" s="43" t="str">
        <f t="shared" si="9"/>
        <v>Variété d'entreprises avec un large éventail de personnel différent. Le nombre total d'emplois sur le marché est relativement stable.</v>
      </c>
      <c r="CW9" s="43" t="str">
        <f t="shared" si="9"/>
        <v>Variété d'entreprises avec un large éventail de personnel différent. Le nombre total d'emplois sur le marché est relativement stable.</v>
      </c>
      <c r="CX9" s="43" t="str">
        <f t="shared" si="9"/>
        <v>Variété d'entreprises avec un large éventail de personnel différent. Le nombre total d'emplois sur le marché est relativement stable.</v>
      </c>
      <c r="CY9" s="43" t="str">
        <f t="shared" si="9"/>
        <v>Variété d'entreprises avec un large éventail de personnel différent. Le nombre total d'emplois sur le marché est relativement stable.</v>
      </c>
      <c r="CZ9" s="43" t="str">
        <f t="shared" si="9"/>
        <v>Variété d'entreprises avec un large éventail de personnel différent. Le nombre total d'emplois sur le marché est relativement stable.</v>
      </c>
      <c r="DA9" s="43" t="str">
        <f t="shared" si="9"/>
        <v>Variété d'entreprises avec un large éventail de personnel différent. Le nombre total d'emplois sur le marché est relativement stable.</v>
      </c>
      <c r="DB9" s="43" t="s">
        <v>979</v>
      </c>
      <c r="DC9" s="441"/>
    </row>
    <row r="10" spans="1:107" ht="80.099999999999994" customHeight="1" thickTop="1" thickBot="1" x14ac:dyDescent="0.25">
      <c r="A10" s="244"/>
      <c r="B10" s="645"/>
      <c r="C10" s="489" t="s">
        <v>126</v>
      </c>
      <c r="D10" s="49" t="s">
        <v>31</v>
      </c>
      <c r="E10" s="48" t="s">
        <v>127</v>
      </c>
      <c r="F10" s="39" t="s">
        <v>462</v>
      </c>
      <c r="G10" s="39" t="s">
        <v>463</v>
      </c>
      <c r="H10" s="39" t="s">
        <v>463</v>
      </c>
      <c r="I10" s="39" t="str">
        <f t="shared" si="0"/>
        <v>Number of systems/products/services sold.</v>
      </c>
      <c r="J10" s="48" t="s">
        <v>750</v>
      </c>
      <c r="K10" s="39" t="str">
        <f t="shared" si="0"/>
        <v>Number of systems/products/services sold.</v>
      </c>
      <c r="L10" s="39" t="str">
        <f t="shared" si="0"/>
        <v>Number of systems/products/services sold.</v>
      </c>
      <c r="M10" s="39" t="s">
        <v>462</v>
      </c>
      <c r="N10" s="39" t="str">
        <f t="shared" si="0"/>
        <v>Number of systems/products/services sold.</v>
      </c>
      <c r="O10" s="48" t="s">
        <v>751</v>
      </c>
      <c r="P10" s="40" t="str">
        <f t="shared" si="17"/>
        <v>Very low sales volume</v>
      </c>
      <c r="Q10" s="40" t="str">
        <f t="shared" si="1"/>
        <v>Very low sales volume</v>
      </c>
      <c r="R10" s="40" t="str">
        <f t="shared" si="1"/>
        <v>Very low sales volume</v>
      </c>
      <c r="S10" s="40" t="str">
        <f t="shared" si="1"/>
        <v>Very low sales volume</v>
      </c>
      <c r="T10" s="40" t="str">
        <f t="shared" si="1"/>
        <v>Very low sales volume</v>
      </c>
      <c r="U10" s="40" t="str">
        <f t="shared" si="1"/>
        <v>Very low sales volume</v>
      </c>
      <c r="V10" s="40" t="str">
        <f t="shared" si="1"/>
        <v>Very low sales volume</v>
      </c>
      <c r="W10" s="40" t="str">
        <f t="shared" si="1"/>
        <v>Very low sales volume</v>
      </c>
      <c r="X10" s="40" t="str">
        <f t="shared" si="1"/>
        <v>Very low sales volume</v>
      </c>
      <c r="Y10" s="40" t="s">
        <v>464</v>
      </c>
      <c r="Z10" s="41" t="str">
        <f t="shared" si="18"/>
        <v>Low sales volume with slow increase</v>
      </c>
      <c r="AA10" s="41" t="str">
        <f t="shared" si="2"/>
        <v>Low sales volume with slow increase</v>
      </c>
      <c r="AB10" s="41" t="str">
        <f t="shared" si="2"/>
        <v>Low sales volume with slow increase</v>
      </c>
      <c r="AC10" s="41" t="str">
        <f t="shared" si="2"/>
        <v>Low sales volume with slow increase</v>
      </c>
      <c r="AD10" s="41" t="str">
        <f t="shared" si="2"/>
        <v>Low sales volume with slow increase</v>
      </c>
      <c r="AE10" s="41" t="str">
        <f t="shared" si="2"/>
        <v>Low sales volume with slow increase</v>
      </c>
      <c r="AF10" s="41" t="str">
        <f t="shared" si="2"/>
        <v>Low sales volume with slow increase</v>
      </c>
      <c r="AG10" s="41" t="str">
        <f t="shared" si="2"/>
        <v>Low sales volume with slow increase</v>
      </c>
      <c r="AH10" s="41" t="str">
        <f t="shared" si="2"/>
        <v>Low sales volume with slow increase</v>
      </c>
      <c r="AI10" s="41" t="s">
        <v>906</v>
      </c>
      <c r="AJ10" s="42" t="str">
        <f t="shared" si="11"/>
        <v>Higher sale volumes with rapid increase (many systems are sold)</v>
      </c>
      <c r="AK10" s="42" t="str">
        <f t="shared" si="3"/>
        <v>Higher sale volumes with rapid increase (many systems are sold)</v>
      </c>
      <c r="AL10" s="42" t="str">
        <f t="shared" si="3"/>
        <v>Higher sale volumes with rapid increase (many systems are sold)</v>
      </c>
      <c r="AM10" s="42" t="str">
        <f t="shared" si="3"/>
        <v>Higher sale volumes with rapid increase (many systems are sold)</v>
      </c>
      <c r="AN10" s="42" t="str">
        <f t="shared" si="3"/>
        <v>Higher sale volumes with rapid increase (many systems are sold)</v>
      </c>
      <c r="AO10" s="42" t="str">
        <f t="shared" si="3"/>
        <v>Higher sale volumes with rapid increase (many systems are sold)</v>
      </c>
      <c r="AP10" s="42" t="str">
        <f t="shared" si="3"/>
        <v>Higher sale volumes with rapid increase (many systems are sold)</v>
      </c>
      <c r="AQ10" s="42" t="str">
        <f t="shared" si="3"/>
        <v>Higher sale volumes with rapid increase (many systems are sold)</v>
      </c>
      <c r="AR10" s="42" t="str">
        <f t="shared" si="3"/>
        <v>Higher sale volumes with rapid increase (many systems are sold)</v>
      </c>
      <c r="AS10" s="42" t="s">
        <v>465</v>
      </c>
      <c r="AT10" s="43" t="str">
        <f t="shared" si="12"/>
        <v>Massive distribution; sales volumes stabilize at the replacement level.</v>
      </c>
      <c r="AU10" s="43" t="str">
        <f t="shared" si="4"/>
        <v>Massive distribution; sales volumes stabilize at the replacement level.</v>
      </c>
      <c r="AV10" s="43" t="str">
        <f t="shared" si="4"/>
        <v>Massive distribution; sales volumes stabilize at the replacement level.</v>
      </c>
      <c r="AW10" s="43" t="str">
        <f t="shared" si="4"/>
        <v>Massive distribution; sales volumes stabilize at the replacement level.</v>
      </c>
      <c r="AX10" s="43" t="str">
        <f t="shared" si="4"/>
        <v>Massive distribution; sales volumes stabilize at the replacement level.</v>
      </c>
      <c r="AY10" s="43" t="str">
        <f t="shared" si="4"/>
        <v>Massive distribution; sales volumes stabilize at the replacement level.</v>
      </c>
      <c r="AZ10" s="43" t="str">
        <f t="shared" si="4"/>
        <v>Massive distribution; sales volumes stabilize at the replacement level.</v>
      </c>
      <c r="BA10" s="43" t="str">
        <f t="shared" si="4"/>
        <v>Massive distribution; sales volumes stabilize at the replacement level.</v>
      </c>
      <c r="BB10" s="43" t="str">
        <f t="shared" si="4"/>
        <v>Massive distribution; sales volumes stabilize at the replacement level.</v>
      </c>
      <c r="BC10" s="43" t="s">
        <v>466</v>
      </c>
      <c r="BD10" s="244"/>
      <c r="BE10" s="39" t="s">
        <v>835</v>
      </c>
      <c r="BF10" s="39" t="s">
        <v>836</v>
      </c>
      <c r="BG10" s="39" t="s">
        <v>836</v>
      </c>
      <c r="BH10" s="39" t="str">
        <f t="shared" si="5"/>
        <v>Nombre de systèmes/produits/services vendus.</v>
      </c>
      <c r="BI10" s="39" t="s">
        <v>833</v>
      </c>
      <c r="BJ10" s="39" t="str">
        <f t="shared" si="5"/>
        <v>Nombre de systèmes/produits/services vendus.</v>
      </c>
      <c r="BK10" s="39" t="str">
        <f t="shared" si="5"/>
        <v>Nombre de systèmes/produits/services vendus.</v>
      </c>
      <c r="BL10" s="39" t="str">
        <f t="shared" si="5"/>
        <v>Nombre de systèmes/produits/services vendus.</v>
      </c>
      <c r="BM10" s="39" t="str">
        <f t="shared" si="5"/>
        <v>Nombre de systèmes/produits/services vendus.</v>
      </c>
      <c r="BN10" s="48" t="s">
        <v>793</v>
      </c>
      <c r="BO10" s="40" t="str">
        <f t="shared" si="14"/>
        <v>Volume des ventes très faible.</v>
      </c>
      <c r="BP10" s="40" t="str">
        <f t="shared" si="6"/>
        <v>Volume des ventes très faible.</v>
      </c>
      <c r="BQ10" s="40" t="str">
        <f t="shared" si="6"/>
        <v>Volume des ventes très faible.</v>
      </c>
      <c r="BR10" s="40" t="str">
        <f t="shared" si="6"/>
        <v>Volume des ventes très faible.</v>
      </c>
      <c r="BS10" s="40" t="str">
        <f t="shared" si="6"/>
        <v>Volume des ventes très faible.</v>
      </c>
      <c r="BT10" s="40" t="str">
        <f t="shared" si="6"/>
        <v>Volume des ventes très faible.</v>
      </c>
      <c r="BU10" s="40" t="str">
        <f t="shared" si="6"/>
        <v>Volume des ventes très faible.</v>
      </c>
      <c r="BV10" s="40" t="str">
        <f t="shared" si="6"/>
        <v>Volume des ventes très faible.</v>
      </c>
      <c r="BW10" s="40" t="str">
        <f t="shared" si="6"/>
        <v>Volume des ventes très faible.</v>
      </c>
      <c r="BX10" s="40" t="s">
        <v>858</v>
      </c>
      <c r="BY10" s="41" t="str">
        <f t="shared" si="19"/>
        <v>Faible volume de ventes avec une augmentation lente</v>
      </c>
      <c r="BZ10" s="41" t="str">
        <f t="shared" si="7"/>
        <v>Faible volume de ventes avec une augmentation lente</v>
      </c>
      <c r="CA10" s="41" t="str">
        <f t="shared" si="7"/>
        <v>Faible volume de ventes avec une augmentation lente</v>
      </c>
      <c r="CB10" s="41" t="str">
        <f t="shared" si="7"/>
        <v>Faible volume de ventes avec une augmentation lente</v>
      </c>
      <c r="CC10" s="41" t="str">
        <f t="shared" si="7"/>
        <v>Faible volume de ventes avec une augmentation lente</v>
      </c>
      <c r="CD10" s="41" t="str">
        <f t="shared" si="7"/>
        <v>Faible volume de ventes avec une augmentation lente</v>
      </c>
      <c r="CE10" s="41" t="str">
        <f t="shared" si="7"/>
        <v>Faible volume de ventes avec une augmentation lente</v>
      </c>
      <c r="CF10" s="41" t="str">
        <f t="shared" si="7"/>
        <v>Faible volume de ventes avec une augmentation lente</v>
      </c>
      <c r="CG10" s="41" t="str">
        <f t="shared" si="7"/>
        <v>Faible volume de ventes avec une augmentation lente</v>
      </c>
      <c r="CH10" s="41" t="s">
        <v>905</v>
      </c>
      <c r="CI10" s="42" t="str">
        <f t="shared" si="15"/>
        <v>Des volumes de vente plus élevés avec une augmentation rapide (de nombreux systèmes sont vendus).</v>
      </c>
      <c r="CJ10" s="42" t="str">
        <f t="shared" si="8"/>
        <v>Des volumes de vente plus élevés avec une augmentation rapide (de nombreux systèmes sont vendus).</v>
      </c>
      <c r="CK10" s="42" t="str">
        <f t="shared" si="8"/>
        <v>Des volumes de vente plus élevés avec une augmentation rapide (de nombreux systèmes sont vendus).</v>
      </c>
      <c r="CL10" s="42" t="str">
        <f t="shared" si="8"/>
        <v>Des volumes de vente plus élevés avec une augmentation rapide (de nombreux systèmes sont vendus).</v>
      </c>
      <c r="CM10" s="42" t="str">
        <f t="shared" si="8"/>
        <v>Des volumes de vente plus élevés avec une augmentation rapide (de nombreux systèmes sont vendus).</v>
      </c>
      <c r="CN10" s="42" t="str">
        <f t="shared" si="8"/>
        <v>Des volumes de vente plus élevés avec une augmentation rapide (de nombreux systèmes sont vendus).</v>
      </c>
      <c r="CO10" s="42" t="str">
        <f t="shared" si="8"/>
        <v>Des volumes de vente plus élevés avec une augmentation rapide (de nombreux systèmes sont vendus).</v>
      </c>
      <c r="CP10" s="42" t="str">
        <f t="shared" si="8"/>
        <v>Des volumes de vente plus élevés avec une augmentation rapide (de nombreux systèmes sont vendus).</v>
      </c>
      <c r="CQ10" s="42" t="str">
        <f t="shared" si="8"/>
        <v>Des volumes de vente plus élevés avec une augmentation rapide (de nombreux systèmes sont vendus).</v>
      </c>
      <c r="CR10" s="42" t="s">
        <v>943</v>
      </c>
      <c r="CS10" s="43" t="str">
        <f t="shared" si="16"/>
        <v>Distribution massive ; les volumes de vente se stabilisent au même niveau que des remplacements.</v>
      </c>
      <c r="CT10" s="43" t="str">
        <f t="shared" si="9"/>
        <v>Distribution massive ; les volumes de vente se stabilisent au même niveau que des remplacements.</v>
      </c>
      <c r="CU10" s="43" t="str">
        <f t="shared" si="9"/>
        <v>Distribution massive ; les volumes de vente se stabilisent au même niveau que des remplacements.</v>
      </c>
      <c r="CV10" s="43" t="str">
        <f t="shared" si="9"/>
        <v>Distribution massive ; les volumes de vente se stabilisent au même niveau que des remplacements.</v>
      </c>
      <c r="CW10" s="43" t="str">
        <f t="shared" si="9"/>
        <v>Distribution massive ; les volumes de vente se stabilisent au même niveau que des remplacements.</v>
      </c>
      <c r="CX10" s="43" t="str">
        <f t="shared" si="9"/>
        <v>Distribution massive ; les volumes de vente se stabilisent au même niveau que des remplacements.</v>
      </c>
      <c r="CY10" s="43" t="str">
        <f t="shared" si="9"/>
        <v>Distribution massive ; les volumes de vente se stabilisent au même niveau que des remplacements.</v>
      </c>
      <c r="CZ10" s="43" t="str">
        <f t="shared" si="9"/>
        <v>Distribution massive ; les volumes de vente se stabilisent au même niveau que des remplacements.</v>
      </c>
      <c r="DA10" s="43" t="str">
        <f t="shared" si="9"/>
        <v>Distribution massive ; les volumes de vente se stabilisent au même niveau que des remplacements.</v>
      </c>
      <c r="DB10" s="43" t="s">
        <v>1000</v>
      </c>
      <c r="DC10" s="441"/>
    </row>
    <row r="11" spans="1:107" s="56" customFormat="1" ht="80.099999999999994" customHeight="1" thickTop="1" thickBot="1" x14ac:dyDescent="0.25">
      <c r="A11" s="270"/>
      <c r="B11" s="645"/>
      <c r="C11" s="489"/>
      <c r="D11" s="49" t="s">
        <v>32</v>
      </c>
      <c r="E11" s="48" t="s">
        <v>128</v>
      </c>
      <c r="F11" s="39" t="str">
        <f t="shared" si="10"/>
        <v>The speed of the cycle of purchase, sale, and replacement of the stock of systems/components..</v>
      </c>
      <c r="G11" s="39" t="str">
        <f t="shared" si="0"/>
        <v>The speed of the cycle of purchase, sale, and replacement of the stock of systems/components..</v>
      </c>
      <c r="H11" s="39" t="str">
        <f t="shared" si="0"/>
        <v>The speed of the cycle of purchase, sale, and replacement of the stock of systems/components..</v>
      </c>
      <c r="I11" s="39" t="str">
        <f t="shared" si="0"/>
        <v>The speed of the cycle of purchase, sale, and replacement of the stock of systems/components..</v>
      </c>
      <c r="J11" s="48" t="s">
        <v>467</v>
      </c>
      <c r="K11" s="39" t="str">
        <f t="shared" si="0"/>
        <v>The speed of the cycle of purchase, sale, and replacement of the stock of systems/components..</v>
      </c>
      <c r="L11" s="39" t="str">
        <f t="shared" si="0"/>
        <v>The speed of the cycle of purchase, sale, and replacement of the stock of systems/components..</v>
      </c>
      <c r="M11" s="39" t="str">
        <f t="shared" si="0"/>
        <v>The speed of the cycle of purchase, sale, and replacement of the stock of systems/components..</v>
      </c>
      <c r="N11" s="39" t="str">
        <f t="shared" si="0"/>
        <v>The speed of the cycle of purchase, sale, and replacement of the stock of systems/components..</v>
      </c>
      <c r="O11" s="48" t="s">
        <v>468</v>
      </c>
      <c r="P11" s="40" t="str">
        <f t="shared" si="17"/>
        <v>Low inventory turnover ratio. Products move off shelf very slowly.</v>
      </c>
      <c r="Q11" s="40" t="str">
        <f t="shared" si="1"/>
        <v>Low inventory turnover ratio. Products move off shelf very slowly.</v>
      </c>
      <c r="R11" s="40" t="str">
        <f t="shared" si="1"/>
        <v>Low inventory turnover ratio. Products move off shelf very slowly.</v>
      </c>
      <c r="S11" s="40" t="str">
        <f t="shared" si="1"/>
        <v>Low inventory turnover ratio. Products move off shelf very slowly.</v>
      </c>
      <c r="T11" s="40" t="str">
        <f t="shared" si="1"/>
        <v>Low inventory turnover ratio. Products move off shelf very slowly.</v>
      </c>
      <c r="U11" s="40" t="str">
        <f t="shared" si="1"/>
        <v>Low inventory turnover ratio. Products move off shelf very slowly.</v>
      </c>
      <c r="V11" s="40" t="str">
        <f t="shared" si="1"/>
        <v>Low inventory turnover ratio. Products move off shelf very slowly.</v>
      </c>
      <c r="W11" s="40" t="str">
        <f t="shared" si="1"/>
        <v>Low inventory turnover ratio. Products move off shelf very slowly.</v>
      </c>
      <c r="X11" s="40" t="str">
        <f t="shared" si="1"/>
        <v>Low inventory turnover ratio. Products move off shelf very slowly.</v>
      </c>
      <c r="Y11" s="40" t="s">
        <v>1050</v>
      </c>
      <c r="Z11" s="41" t="str">
        <f t="shared" si="18"/>
        <v xml:space="preserve">Inventory turnover ratio remains low.
Products still move off shelf slow. </v>
      </c>
      <c r="AA11" s="41" t="str">
        <f t="shared" si="2"/>
        <v xml:space="preserve">Inventory turnover ratio remains low.
Products still move off shelf slow. </v>
      </c>
      <c r="AB11" s="41" t="str">
        <f t="shared" si="2"/>
        <v xml:space="preserve">Inventory turnover ratio remains low.
Products still move off shelf slow. </v>
      </c>
      <c r="AC11" s="41" t="str">
        <f t="shared" si="2"/>
        <v xml:space="preserve">Inventory turnover ratio remains low.
Products still move off shelf slow. </v>
      </c>
      <c r="AD11" s="41" t="str">
        <f t="shared" si="2"/>
        <v xml:space="preserve">Inventory turnover ratio remains low.
Products still move off shelf slow. </v>
      </c>
      <c r="AE11" s="41" t="str">
        <f t="shared" si="2"/>
        <v xml:space="preserve">Inventory turnover ratio remains low.
Products still move off shelf slow. </v>
      </c>
      <c r="AF11" s="41" t="str">
        <f t="shared" si="2"/>
        <v xml:space="preserve">Inventory turnover ratio remains low.
Products still move off shelf slow. </v>
      </c>
      <c r="AG11" s="41" t="str">
        <f t="shared" si="2"/>
        <v xml:space="preserve">Inventory turnover ratio remains low.
Products still move off shelf slow. </v>
      </c>
      <c r="AH11" s="41" t="str">
        <f t="shared" si="2"/>
        <v xml:space="preserve">Inventory turnover ratio remains low.
Products still move off shelf slow. </v>
      </c>
      <c r="AI11" s="41" t="s">
        <v>469</v>
      </c>
      <c r="AJ11" s="42" t="str">
        <f t="shared" si="11"/>
        <v>High inventory turnover ratio.
Products start to move off shelf slightly faster than before. There is risk of overstocking and obsolescence.</v>
      </c>
      <c r="AK11" s="42" t="str">
        <f t="shared" si="3"/>
        <v>High inventory turnover ratio.
Products start to move off shelf slightly faster than before. There is risk of overstocking and obsolescence.</v>
      </c>
      <c r="AL11" s="42" t="str">
        <f t="shared" si="3"/>
        <v>High inventory turnover ratio.
Products start to move off shelf slightly faster than before. There is risk of overstocking and obsolescence.</v>
      </c>
      <c r="AM11" s="42" t="str">
        <f t="shared" si="3"/>
        <v>High inventory turnover ratio.
Products start to move off shelf slightly faster than before. There is risk of overstocking and obsolescence.</v>
      </c>
      <c r="AN11" s="42" t="str">
        <f t="shared" si="3"/>
        <v>High inventory turnover ratio.
Products start to move off shelf slightly faster than before. There is risk of overstocking and obsolescence.</v>
      </c>
      <c r="AO11" s="42" t="str">
        <f t="shared" si="3"/>
        <v>High inventory turnover ratio.
Products start to move off shelf slightly faster than before. There is risk of overstocking and obsolescence.</v>
      </c>
      <c r="AP11" s="42" t="str">
        <f t="shared" si="3"/>
        <v>High inventory turnover ratio.
Products start to move off shelf slightly faster than before. There is risk of overstocking and obsolescence.</v>
      </c>
      <c r="AQ11" s="42" t="str">
        <f t="shared" si="3"/>
        <v>High inventory turnover ratio.
Products start to move off shelf slightly faster than before. There is risk of overstocking and obsolescence.</v>
      </c>
      <c r="AR11" s="42" t="str">
        <f t="shared" si="3"/>
        <v>High inventory turnover ratio.
Products start to move off shelf slightly faster than before. There is risk of overstocking and obsolescence.</v>
      </c>
      <c r="AS11" s="42" t="s">
        <v>470</v>
      </c>
      <c r="AT11" s="43" t="str">
        <f t="shared" si="12"/>
        <v>Very high inventory turnover ratio.
Products move off shelf quickly most of the time.</v>
      </c>
      <c r="AU11" s="43" t="str">
        <f t="shared" si="4"/>
        <v>Very high inventory turnover ratio.
Products move off shelf quickly most of the time.</v>
      </c>
      <c r="AV11" s="43" t="str">
        <f t="shared" si="4"/>
        <v>Very high inventory turnover ratio.
Products move off shelf quickly most of the time.</v>
      </c>
      <c r="AW11" s="43" t="str">
        <f t="shared" si="4"/>
        <v>Very high inventory turnover ratio.
Products move off shelf quickly most of the time.</v>
      </c>
      <c r="AX11" s="43" t="str">
        <f t="shared" si="4"/>
        <v>Very high inventory turnover ratio.
Products move off shelf quickly most of the time.</v>
      </c>
      <c r="AY11" s="43" t="str">
        <f t="shared" si="4"/>
        <v>Very high inventory turnover ratio.
Products move off shelf quickly most of the time.</v>
      </c>
      <c r="AZ11" s="43" t="str">
        <f t="shared" si="4"/>
        <v>Very high inventory turnover ratio.
Products move off shelf quickly most of the time.</v>
      </c>
      <c r="BA11" s="43" t="str">
        <f t="shared" si="4"/>
        <v>Very high inventory turnover ratio.
Products move off shelf quickly most of the time.</v>
      </c>
      <c r="BB11" s="43" t="str">
        <f t="shared" si="4"/>
        <v>Very high inventory turnover ratio.
Products move off shelf quickly most of the time.</v>
      </c>
      <c r="BC11" s="43" t="s">
        <v>471</v>
      </c>
      <c r="BD11" s="270"/>
      <c r="BE11" s="39" t="str">
        <f t="shared" si="13"/>
        <v>Vitesse du cycle d'achat, de vente et de remplacement du stock de systèmes/composants.</v>
      </c>
      <c r="BF11" s="39" t="str">
        <f t="shared" si="5"/>
        <v>Vitesse du cycle d'achat, de vente et de remplacement du stock de systèmes/composants.</v>
      </c>
      <c r="BG11" s="39" t="str">
        <f t="shared" si="5"/>
        <v>Vitesse du cycle d'achat, de vente et de remplacement du stock de systèmes/composants.</v>
      </c>
      <c r="BH11" s="39" t="str">
        <f t="shared" si="5"/>
        <v>Vitesse du cycle d'achat, de vente et de remplacement du stock de systèmes/composants.</v>
      </c>
      <c r="BI11" s="39" t="s">
        <v>844</v>
      </c>
      <c r="BJ11" s="39" t="str">
        <f t="shared" si="5"/>
        <v>Vitesse du cycle d'achat, de vente et de remplacement du stock de systèmes/composants.</v>
      </c>
      <c r="BK11" s="39" t="str">
        <f t="shared" si="5"/>
        <v>Vitesse du cycle d'achat, de vente et de remplacement du stock de systèmes/composants.</v>
      </c>
      <c r="BL11" s="39" t="str">
        <f t="shared" si="5"/>
        <v>Vitesse du cycle d'achat, de vente et de remplacement du stock de systèmes/composants.</v>
      </c>
      <c r="BM11" s="39" t="str">
        <f t="shared" si="5"/>
        <v>Vitesse du cycle d'achat, de vente et de remplacement du stock de systèmes/composants.</v>
      </c>
      <c r="BN11" s="48" t="s">
        <v>794</v>
      </c>
      <c r="BO11" s="40" t="str">
        <f t="shared" si="14"/>
        <v>Faible taux de rotation des stocks. Les produits se vendet très lendement.</v>
      </c>
      <c r="BP11" s="40" t="str">
        <f t="shared" si="6"/>
        <v>Faible taux de rotation des stocks. Les produits se vendet très lendement.</v>
      </c>
      <c r="BQ11" s="40" t="str">
        <f t="shared" si="6"/>
        <v>Faible taux de rotation des stocks. Les produits se vendet très lendement.</v>
      </c>
      <c r="BR11" s="40" t="str">
        <f t="shared" si="6"/>
        <v>Faible taux de rotation des stocks. Les produits se vendet très lendement.</v>
      </c>
      <c r="BS11" s="40" t="str">
        <f t="shared" si="6"/>
        <v>Faible taux de rotation des stocks. Les produits se vendet très lendement.</v>
      </c>
      <c r="BT11" s="40" t="str">
        <f t="shared" si="6"/>
        <v>Faible taux de rotation des stocks. Les produits se vendet très lendement.</v>
      </c>
      <c r="BU11" s="40" t="str">
        <f t="shared" si="6"/>
        <v>Faible taux de rotation des stocks. Les produits se vendet très lendement.</v>
      </c>
      <c r="BV11" s="40" t="str">
        <f t="shared" si="6"/>
        <v>Faible taux de rotation des stocks. Les produits se vendet très lendement.</v>
      </c>
      <c r="BW11" s="40" t="str">
        <f t="shared" si="6"/>
        <v>Faible taux de rotation des stocks. Les produits se vendet très lendement.</v>
      </c>
      <c r="BX11" s="40" t="s">
        <v>859</v>
      </c>
      <c r="BY11" s="41" t="str">
        <f t="shared" si="19"/>
        <v xml:space="preserve">Le taux de rotation des stocks reste faible. Les produits se vendent toujours lentement. </v>
      </c>
      <c r="BZ11" s="41" t="str">
        <f t="shared" si="7"/>
        <v xml:space="preserve">Le taux de rotation des stocks reste faible. Les produits se vendent toujours lentement. </v>
      </c>
      <c r="CA11" s="41" t="str">
        <f t="shared" si="7"/>
        <v xml:space="preserve">Le taux de rotation des stocks reste faible. Les produits se vendent toujours lentement. </v>
      </c>
      <c r="CB11" s="41" t="str">
        <f t="shared" si="7"/>
        <v xml:space="preserve">Le taux de rotation des stocks reste faible. Les produits se vendent toujours lentement. </v>
      </c>
      <c r="CC11" s="41" t="str">
        <f t="shared" si="7"/>
        <v xml:space="preserve">Le taux de rotation des stocks reste faible. Les produits se vendent toujours lentement. </v>
      </c>
      <c r="CD11" s="41" t="str">
        <f t="shared" si="7"/>
        <v xml:space="preserve">Le taux de rotation des stocks reste faible. Les produits se vendent toujours lentement. </v>
      </c>
      <c r="CE11" s="41" t="str">
        <f t="shared" si="7"/>
        <v xml:space="preserve">Le taux de rotation des stocks reste faible. Les produits se vendent toujours lentement. </v>
      </c>
      <c r="CF11" s="41" t="str">
        <f t="shared" si="7"/>
        <v xml:space="preserve">Le taux de rotation des stocks reste faible. Les produits se vendent toujours lentement. </v>
      </c>
      <c r="CG11" s="41" t="str">
        <f t="shared" si="7"/>
        <v xml:space="preserve">Le taux de rotation des stocks reste faible. Les produits se vendent toujours lentement. </v>
      </c>
      <c r="CH11" s="41" t="s">
        <v>907</v>
      </c>
      <c r="CI11" s="42" t="str">
        <f t="shared" si="15"/>
        <v>Ratio de rotation des stocks élevé. Les produits commencent à se vendre un peu plus rapidement qu'auparavant. Il existe un risque de surstockage et d'obsolescence</v>
      </c>
      <c r="CJ11" s="42" t="str">
        <f t="shared" si="8"/>
        <v>Ratio de rotation des stocks élevé. Les produits commencent à se vendre un peu plus rapidement qu'auparavant. Il existe un risque de surstockage et d'obsolescence</v>
      </c>
      <c r="CK11" s="42" t="str">
        <f t="shared" si="8"/>
        <v>Ratio de rotation des stocks élevé. Les produits commencent à se vendre un peu plus rapidement qu'auparavant. Il existe un risque de surstockage et d'obsolescence</v>
      </c>
      <c r="CL11" s="42" t="str">
        <f t="shared" si="8"/>
        <v>Ratio de rotation des stocks élevé. Les produits commencent à se vendre un peu plus rapidement qu'auparavant. Il existe un risque de surstockage et d'obsolescence</v>
      </c>
      <c r="CM11" s="42" t="str">
        <f t="shared" si="8"/>
        <v>Ratio de rotation des stocks élevé. Les produits commencent à se vendre un peu plus rapidement qu'auparavant. Il existe un risque de surstockage et d'obsolescence</v>
      </c>
      <c r="CN11" s="42" t="str">
        <f t="shared" si="8"/>
        <v>Ratio de rotation des stocks élevé. Les produits commencent à se vendre un peu plus rapidement qu'auparavant. Il existe un risque de surstockage et d'obsolescence</v>
      </c>
      <c r="CO11" s="42" t="str">
        <f t="shared" si="8"/>
        <v>Ratio de rotation des stocks élevé. Les produits commencent à se vendre un peu plus rapidement qu'auparavant. Il existe un risque de surstockage et d'obsolescence</v>
      </c>
      <c r="CP11" s="42" t="str">
        <f t="shared" si="8"/>
        <v>Ratio de rotation des stocks élevé. Les produits commencent à se vendre un peu plus rapidement qu'auparavant. Il existe un risque de surstockage et d'obsolescence</v>
      </c>
      <c r="CQ11" s="42" t="str">
        <f t="shared" si="8"/>
        <v>Ratio de rotation des stocks élevé. Les produits commencent à se vendre un peu plus rapidement qu'auparavant. Il existe un risque de surstockage et d'obsolescence</v>
      </c>
      <c r="CR11" s="42" t="s">
        <v>944</v>
      </c>
      <c r="CS11" s="43" t="str">
        <f t="shared" si="16"/>
        <v>Ratio de rotation des stocks très élevé. La plupart du temps, les produits se vendent  rapidement.</v>
      </c>
      <c r="CT11" s="43" t="str">
        <f t="shared" si="9"/>
        <v>Ratio de rotation des stocks très élevé. La plupart du temps, les produits se vendent  rapidement.</v>
      </c>
      <c r="CU11" s="43" t="str">
        <f t="shared" si="9"/>
        <v>Ratio de rotation des stocks très élevé. La plupart du temps, les produits se vendent  rapidement.</v>
      </c>
      <c r="CV11" s="43" t="str">
        <f t="shared" si="9"/>
        <v>Ratio de rotation des stocks très élevé. La plupart du temps, les produits se vendent  rapidement.</v>
      </c>
      <c r="CW11" s="43" t="str">
        <f t="shared" si="9"/>
        <v>Ratio de rotation des stocks très élevé. La plupart du temps, les produits se vendent  rapidement.</v>
      </c>
      <c r="CX11" s="43" t="str">
        <f t="shared" si="9"/>
        <v>Ratio de rotation des stocks très élevé. La plupart du temps, les produits se vendent  rapidement.</v>
      </c>
      <c r="CY11" s="43" t="str">
        <f t="shared" si="9"/>
        <v>Ratio de rotation des stocks très élevé. La plupart du temps, les produits se vendent  rapidement.</v>
      </c>
      <c r="CZ11" s="43" t="str">
        <f t="shared" si="9"/>
        <v>Ratio de rotation des stocks très élevé. La plupart du temps, les produits se vendent  rapidement.</v>
      </c>
      <c r="DA11" s="43" t="str">
        <f t="shared" si="9"/>
        <v>Ratio de rotation des stocks très élevé. La plupart du temps, les produits se vendent  rapidement.</v>
      </c>
      <c r="DB11" s="43" t="s">
        <v>1001</v>
      </c>
      <c r="DC11" s="441"/>
    </row>
    <row r="12" spans="1:107" ht="80.099999999999994" customHeight="1" thickTop="1" thickBot="1" x14ac:dyDescent="0.25">
      <c r="A12" s="244"/>
      <c r="B12" s="645"/>
      <c r="C12" s="429" t="s">
        <v>129</v>
      </c>
      <c r="D12" s="49" t="s">
        <v>472</v>
      </c>
      <c r="E12" s="48" t="s">
        <v>353</v>
      </c>
      <c r="F12" s="39" t="str">
        <f t="shared" si="10"/>
        <v>Profit margin and investments by suppliers to increase production and/or sales.</v>
      </c>
      <c r="G12" s="39" t="str">
        <f t="shared" si="0"/>
        <v>Profit margin and investments by suppliers to increase production and/or sales.</v>
      </c>
      <c r="H12" s="39" t="str">
        <f t="shared" si="0"/>
        <v>Profit margin and investments by suppliers to increase production and/or sales.</v>
      </c>
      <c r="I12" s="39" t="str">
        <f t="shared" si="0"/>
        <v>Profit margin and investments by suppliers to increase production and/or sales.</v>
      </c>
      <c r="J12" s="48" t="s">
        <v>473</v>
      </c>
      <c r="K12" s="39" t="str">
        <f t="shared" si="0"/>
        <v>Profit margin and investments by suppliers to increase production and/or sales.</v>
      </c>
      <c r="L12" s="39" t="str">
        <f t="shared" si="0"/>
        <v>Profit margin and investments by suppliers to increase production and/or sales.</v>
      </c>
      <c r="M12" s="39" t="str">
        <f t="shared" si="0"/>
        <v>Profit margin and investments by suppliers to increase production and/or sales.</v>
      </c>
      <c r="N12" s="39" t="str">
        <f t="shared" si="0"/>
        <v>Profit margin and investments by suppliers to increase production and/or sales.</v>
      </c>
      <c r="O12" s="48" t="s">
        <v>752</v>
      </c>
      <c r="P12" s="40" t="str">
        <f t="shared" si="17"/>
        <v>No (negative or very low) profit margins. No private investments for this reason and because of uncertain future demand. Investments are subsidised by donors.</v>
      </c>
      <c r="Q12" s="40" t="str">
        <f t="shared" si="1"/>
        <v>No (negative or very low) profit margins. No private investments for this reason and because of uncertain future demand. Investments are subsidised by donors.</v>
      </c>
      <c r="R12" s="40" t="str">
        <f t="shared" si="1"/>
        <v>No (negative or very low) profit margins. No private investments for this reason and because of uncertain future demand. Investments are subsidised by donors.</v>
      </c>
      <c r="S12" s="40" t="str">
        <f t="shared" si="1"/>
        <v>No (negative or very low) profit margins. No private investments for this reason and because of uncertain future demand. Investments are subsidised by donors.</v>
      </c>
      <c r="T12" s="40" t="str">
        <f>$Y12</f>
        <v>No (negative or very low) profit margins. No private investments for this reason and because of uncertain future demand. Investments are subsidised by donors.</v>
      </c>
      <c r="U12" s="40" t="str">
        <f t="shared" si="1"/>
        <v>No (negative or very low) profit margins. No private investments for this reason and because of uncertain future demand. Investments are subsidised by donors.</v>
      </c>
      <c r="V12" s="40" t="str">
        <f t="shared" si="1"/>
        <v>No (negative or very low) profit margins. No private investments for this reason and because of uncertain future demand. Investments are subsidised by donors.</v>
      </c>
      <c r="W12" s="40" t="str">
        <f t="shared" si="1"/>
        <v>No (negative or very low) profit margins. No private investments for this reason and because of uncertain future demand. Investments are subsidised by donors.</v>
      </c>
      <c r="X12" s="40" t="str">
        <f t="shared" si="1"/>
        <v>No (negative or very low) profit margins. No private investments for this reason and because of uncertain future demand. Investments are subsidised by donors.</v>
      </c>
      <c r="Y12" s="40" t="s">
        <v>728</v>
      </c>
      <c r="Z12" s="41" t="str">
        <f t="shared" si="18"/>
        <v>Low positive profit margins which are  starting to increase. Some businesses invest or have plans to do so.</v>
      </c>
      <c r="AA12" s="41" t="str">
        <f t="shared" si="2"/>
        <v>Low positive profit margins which are  starting to increase. Some businesses invest or have plans to do so.</v>
      </c>
      <c r="AB12" s="41" t="str">
        <f t="shared" si="2"/>
        <v>Low positive profit margins which are  starting to increase. Some businesses invest or have plans to do so.</v>
      </c>
      <c r="AC12" s="41" t="str">
        <f t="shared" si="2"/>
        <v>Low positive profit margins which are  starting to increase. Some businesses invest or have plans to do so.</v>
      </c>
      <c r="AD12" s="41" t="str">
        <f t="shared" si="2"/>
        <v>Low positive profit margins which are  starting to increase. Some businesses invest or have plans to do so.</v>
      </c>
      <c r="AE12" s="41" t="str">
        <f t="shared" si="2"/>
        <v>Low positive profit margins which are  starting to increase. Some businesses invest or have plans to do so.</v>
      </c>
      <c r="AF12" s="41" t="str">
        <f t="shared" si="2"/>
        <v>Low positive profit margins which are  starting to increase. Some businesses invest or have plans to do so.</v>
      </c>
      <c r="AG12" s="41" t="str">
        <f t="shared" si="2"/>
        <v>Low positive profit margins which are  starting to increase. Some businesses invest or have plans to do so.</v>
      </c>
      <c r="AH12" s="41" t="str">
        <f t="shared" si="2"/>
        <v>Low positive profit margins which are  starting to increase. Some businesses invest or have plans to do so.</v>
      </c>
      <c r="AI12" s="41" t="s">
        <v>725</v>
      </c>
      <c r="AJ12" s="42" t="str">
        <f t="shared" si="11"/>
        <v>Profit margins increase. They are maximised during this phase. More businesses invest and make plans to expand their business.</v>
      </c>
      <c r="AK12" s="42" t="str">
        <f t="shared" si="3"/>
        <v>Profit margins increase. They are maximised during this phase. More businesses invest and make plans to expand their business.</v>
      </c>
      <c r="AL12" s="42" t="str">
        <f t="shared" si="3"/>
        <v>Profit margins increase. They are maximised during this phase. More businesses invest and make plans to expand their business.</v>
      </c>
      <c r="AM12" s="42" t="str">
        <f t="shared" si="3"/>
        <v>Profit margins increase. They are maximised during this phase. More businesses invest and make plans to expand their business.</v>
      </c>
      <c r="AN12" s="42" t="str">
        <f>$AS12</f>
        <v>Profit margins increase. They are maximised during this phase. More businesses invest and make plans to expand their business.</v>
      </c>
      <c r="AO12" s="42" t="str">
        <f t="shared" si="3"/>
        <v>Profit margins increase. They are maximised during this phase. More businesses invest and make plans to expand their business.</v>
      </c>
      <c r="AP12" s="42" t="str">
        <f t="shared" si="3"/>
        <v>Profit margins increase. They are maximised during this phase. More businesses invest and make plans to expand their business.</v>
      </c>
      <c r="AQ12" s="42" t="str">
        <f t="shared" si="3"/>
        <v>Profit margins increase. They are maximised during this phase. More businesses invest and make plans to expand their business.</v>
      </c>
      <c r="AR12" s="42" t="str">
        <f t="shared" si="3"/>
        <v>Profit margins increase. They are maximised during this phase. More businesses invest and make plans to expand their business.</v>
      </c>
      <c r="AS12" s="42" t="s">
        <v>726</v>
      </c>
      <c r="AT12" s="43" t="str">
        <f t="shared" si="12"/>
        <v>Profit margins decrease. Over 50% of businesses invest, diversify and expand business</v>
      </c>
      <c r="AU12" s="43" t="str">
        <f t="shared" si="4"/>
        <v>Profit margins decrease. Over 50% of businesses invest, diversify and expand business</v>
      </c>
      <c r="AV12" s="43" t="str">
        <f t="shared" si="4"/>
        <v>Profit margins decrease. Over 50% of businesses invest, diversify and expand business</v>
      </c>
      <c r="AW12" s="43" t="str">
        <f t="shared" si="4"/>
        <v>Profit margins decrease. Over 50% of businesses invest, diversify and expand business</v>
      </c>
      <c r="AX12" s="43" t="str">
        <f t="shared" si="4"/>
        <v>Profit margins decrease. Over 50% of businesses invest, diversify and expand business</v>
      </c>
      <c r="AY12" s="43" t="str">
        <f t="shared" si="4"/>
        <v>Profit margins decrease. Over 50% of businesses invest, diversify and expand business</v>
      </c>
      <c r="AZ12" s="43" t="str">
        <f t="shared" si="4"/>
        <v>Profit margins decrease. Over 50% of businesses invest, diversify and expand business</v>
      </c>
      <c r="BA12" s="43" t="str">
        <f t="shared" si="4"/>
        <v>Profit margins decrease. Over 50% of businesses invest, diversify and expand business</v>
      </c>
      <c r="BB12" s="43" t="str">
        <f t="shared" si="4"/>
        <v>Profit margins decrease. Over 50% of businesses invest, diversify and expand business</v>
      </c>
      <c r="BC12" s="43" t="s">
        <v>727</v>
      </c>
      <c r="BD12" s="244"/>
      <c r="BE12" s="39" t="str">
        <f t="shared" si="13"/>
        <v>Marge de profit et investissements des fournisseurs pour augmenter la production et/ou les ventes.</v>
      </c>
      <c r="BF12" s="39" t="str">
        <f t="shared" si="5"/>
        <v>Marge de profit et investissements des fournisseurs pour augmenter la production et/ou les ventes.</v>
      </c>
      <c r="BG12" s="39" t="str">
        <f t="shared" si="5"/>
        <v>Marge de profit et investissements des fournisseurs pour augmenter la production et/ou les ventes.</v>
      </c>
      <c r="BH12" s="39" t="str">
        <f t="shared" si="5"/>
        <v>Marge de profit et investissements des fournisseurs pour augmenter la production et/ou les ventes.</v>
      </c>
      <c r="BI12" s="39" t="s">
        <v>845</v>
      </c>
      <c r="BJ12" s="39" t="str">
        <f t="shared" si="5"/>
        <v>Marge de profit et investissements des fournisseurs pour augmenter la production et/ou les ventes.</v>
      </c>
      <c r="BK12" s="39" t="str">
        <f t="shared" si="5"/>
        <v>Marge de profit et investissements des fournisseurs pour augmenter la production et/ou les ventes.</v>
      </c>
      <c r="BL12" s="39" t="str">
        <f t="shared" si="5"/>
        <v>Marge de profit et investissements des fournisseurs pour augmenter la production et/ou les ventes.</v>
      </c>
      <c r="BM12" s="39" t="str">
        <f t="shared" si="5"/>
        <v>Marge de profit et investissements des fournisseurs pour augmenter la production et/ou les ventes.</v>
      </c>
      <c r="BN12" s="48" t="s">
        <v>795</v>
      </c>
      <c r="BO12" s="40" t="str">
        <f t="shared" si="14"/>
        <v>Aucune marge de profit (négative ou très faible). Pas d'investissements privés pour cette raison et en raison de l'incertitude de la demande future. Les investissements sont subventionnés par les bailleurs.</v>
      </c>
      <c r="BP12" s="40" t="str">
        <f t="shared" si="6"/>
        <v>Aucune marge de profit (négative ou très faible). Pas d'investissements privés pour cette raison et en raison de l'incertitude de la demande future. Les investissements sont subventionnés par les bailleurs.</v>
      </c>
      <c r="BQ12" s="40" t="str">
        <f t="shared" si="6"/>
        <v>Aucune marge de profit (négative ou très faible). Pas d'investissements privés pour cette raison et en raison de l'incertitude de la demande future. Les investissements sont subventionnés par les bailleurs.</v>
      </c>
      <c r="BR12" s="40" t="str">
        <f t="shared" si="6"/>
        <v>Aucune marge de profit (négative ou très faible). Pas d'investissements privés pour cette raison et en raison de l'incertitude de la demande future. Les investissements sont subventionnés par les bailleurs.</v>
      </c>
      <c r="BS12" s="40" t="str">
        <f t="shared" si="6"/>
        <v>Aucune marge de profit (négative ou très faible). Pas d'investissements privés pour cette raison et en raison de l'incertitude de la demande future. Les investissements sont subventionnés par les bailleurs.</v>
      </c>
      <c r="BT12" s="40" t="str">
        <f t="shared" si="6"/>
        <v>Aucune marge de profit (négative ou très faible). Pas d'investissements privés pour cette raison et en raison de l'incertitude de la demande future. Les investissements sont subventionnés par les bailleurs.</v>
      </c>
      <c r="BU12" s="40" t="str">
        <f t="shared" si="6"/>
        <v>Aucune marge de profit (négative ou très faible). Pas d'investissements privés pour cette raison et en raison de l'incertitude de la demande future. Les investissements sont subventionnés par les bailleurs.</v>
      </c>
      <c r="BV12" s="40" t="str">
        <f t="shared" si="6"/>
        <v>Aucune marge de profit (négative ou très faible). Pas d'investissements privés pour cette raison et en raison de l'incertitude de la demande future. Les investissements sont subventionnés par les bailleurs.</v>
      </c>
      <c r="BW12" s="40" t="str">
        <f t="shared" si="6"/>
        <v>Aucune marge de profit (négative ou très faible). Pas d'investissements privés pour cette raison et en raison de l'incertitude de la demande future. Les investissements sont subventionnés par les bailleurs.</v>
      </c>
      <c r="BX12" s="40" t="s">
        <v>897</v>
      </c>
      <c r="BY12" s="41" t="str">
        <f t="shared" si="19"/>
        <v>Faibles marges de profit positives qui commencent à augmenter. Certaines entreprises investissent ou prévoient de le faire.</v>
      </c>
      <c r="BZ12" s="41" t="str">
        <f t="shared" si="7"/>
        <v>Faibles marges de profit positives qui commencent à augmenter. Certaines entreprises investissent ou prévoient de le faire.</v>
      </c>
      <c r="CA12" s="41" t="str">
        <f t="shared" si="7"/>
        <v>Faibles marges de profit positives qui commencent à augmenter. Certaines entreprises investissent ou prévoient de le faire.</v>
      </c>
      <c r="CB12" s="41" t="str">
        <f t="shared" si="7"/>
        <v>Faibles marges de profit positives qui commencent à augmenter. Certaines entreprises investissent ou prévoient de le faire.</v>
      </c>
      <c r="CC12" s="41" t="str">
        <f t="shared" si="7"/>
        <v>Faibles marges de profit positives qui commencent à augmenter. Certaines entreprises investissent ou prévoient de le faire.</v>
      </c>
      <c r="CD12" s="41" t="str">
        <f t="shared" si="7"/>
        <v>Faibles marges de profit positives qui commencent à augmenter. Certaines entreprises investissent ou prévoient de le faire.</v>
      </c>
      <c r="CE12" s="41" t="str">
        <f t="shared" si="7"/>
        <v>Faibles marges de profit positives qui commencent à augmenter. Certaines entreprises investissent ou prévoient de le faire.</v>
      </c>
      <c r="CF12" s="41" t="str">
        <f t="shared" si="7"/>
        <v>Faibles marges de profit positives qui commencent à augmenter. Certaines entreprises investissent ou prévoient de le faire.</v>
      </c>
      <c r="CG12" s="41" t="str">
        <f t="shared" si="7"/>
        <v>Faibles marges de profit positives qui commencent à augmenter. Certaines entreprises investissent ou prévoient de le faire.</v>
      </c>
      <c r="CH12" s="41" t="s">
        <v>908</v>
      </c>
      <c r="CI12" s="42" t="str">
        <f t="shared" si="15"/>
        <v>Les marges de profit augmentent. Elles sont maximisées durant cette phase. Davantage d'entreprises investissent et prévoient de développer leurs activités.</v>
      </c>
      <c r="CJ12" s="42" t="str">
        <f t="shared" si="8"/>
        <v>Les marges de profit augmentent. Elles sont maximisées durant cette phase. Davantage d'entreprises investissent et prévoient de développer leurs activités.</v>
      </c>
      <c r="CK12" s="42" t="str">
        <f t="shared" si="8"/>
        <v>Les marges de profit augmentent. Elles sont maximisées durant cette phase. Davantage d'entreprises investissent et prévoient de développer leurs activités.</v>
      </c>
      <c r="CL12" s="42" t="str">
        <f t="shared" si="8"/>
        <v>Les marges de profit augmentent. Elles sont maximisées durant cette phase. Davantage d'entreprises investissent et prévoient de développer leurs activités.</v>
      </c>
      <c r="CM12" s="42" t="str">
        <f t="shared" si="8"/>
        <v>Les marges de profit augmentent. Elles sont maximisées durant cette phase. Davantage d'entreprises investissent et prévoient de développer leurs activités.</v>
      </c>
      <c r="CN12" s="42" t="str">
        <f t="shared" si="8"/>
        <v>Les marges de profit augmentent. Elles sont maximisées durant cette phase. Davantage d'entreprises investissent et prévoient de développer leurs activités.</v>
      </c>
      <c r="CO12" s="42" t="str">
        <f t="shared" si="8"/>
        <v>Les marges de profit augmentent. Elles sont maximisées durant cette phase. Davantage d'entreprises investissent et prévoient de développer leurs activités.</v>
      </c>
      <c r="CP12" s="42" t="str">
        <f t="shared" si="8"/>
        <v>Les marges de profit augmentent. Elles sont maximisées durant cette phase. Davantage d'entreprises investissent et prévoient de développer leurs activités.</v>
      </c>
      <c r="CQ12" s="42" t="str">
        <f t="shared" si="8"/>
        <v>Les marges de profit augmentent. Elles sont maximisées durant cette phase. Davantage d'entreprises investissent et prévoient de développer leurs activités.</v>
      </c>
      <c r="CR12" s="42" t="s">
        <v>945</v>
      </c>
      <c r="CS12" s="43" t="str">
        <f t="shared" si="16"/>
        <v>Les marges de profit diminuent. Plus de 50 % des entreprises investissent, se diversifient et développent leurs activités.</v>
      </c>
      <c r="CT12" s="43" t="str">
        <f t="shared" si="9"/>
        <v>Les marges de profit diminuent. Plus de 50 % des entreprises investissent, se diversifient et développent leurs activités.</v>
      </c>
      <c r="CU12" s="43" t="str">
        <f t="shared" si="9"/>
        <v>Les marges de profit diminuent. Plus de 50 % des entreprises investissent, se diversifient et développent leurs activités.</v>
      </c>
      <c r="CV12" s="43" t="str">
        <f t="shared" si="9"/>
        <v>Les marges de profit diminuent. Plus de 50 % des entreprises investissent, se diversifient et développent leurs activités.</v>
      </c>
      <c r="CW12" s="43" t="str">
        <f t="shared" si="9"/>
        <v>Les marges de profit diminuent. Plus de 50 % des entreprises investissent, se diversifient et développent leurs activités.</v>
      </c>
      <c r="CX12" s="43" t="str">
        <f t="shared" si="9"/>
        <v>Les marges de profit diminuent. Plus de 50 % des entreprises investissent, se diversifient et développent leurs activités.</v>
      </c>
      <c r="CY12" s="43" t="str">
        <f t="shared" si="9"/>
        <v>Les marges de profit diminuent. Plus de 50 % des entreprises investissent, se diversifient et développent leurs activités.</v>
      </c>
      <c r="CZ12" s="43" t="str">
        <f t="shared" si="9"/>
        <v>Les marges de profit diminuent. Plus de 50 % des entreprises investissent, se diversifient et développent leurs activités.</v>
      </c>
      <c r="DA12" s="43" t="str">
        <f t="shared" si="9"/>
        <v>Les marges de profit diminuent. Plus de 50 % des entreprises investissent, se diversifient et développent leurs activités.</v>
      </c>
      <c r="DB12" s="43" t="s">
        <v>1002</v>
      </c>
      <c r="DC12" s="441"/>
    </row>
    <row r="13" spans="1:107" ht="80.099999999999994" customHeight="1" thickTop="1" thickBot="1" x14ac:dyDescent="0.25">
      <c r="A13" s="244"/>
      <c r="B13" s="645"/>
      <c r="C13" s="646" t="s">
        <v>474</v>
      </c>
      <c r="D13" s="135" t="s">
        <v>36</v>
      </c>
      <c r="E13" s="39" t="s">
        <v>136</v>
      </c>
      <c r="F13" s="39" t="str">
        <f t="shared" si="10"/>
        <v>Number of market participants at each step of the supply chain.</v>
      </c>
      <c r="G13" s="39" t="str">
        <f t="shared" si="0"/>
        <v>Number of market participants at each step of the supply chain.</v>
      </c>
      <c r="H13" s="39" t="str">
        <f t="shared" si="0"/>
        <v>Number of market participants at each step of the supply chain.</v>
      </c>
      <c r="I13" s="39" t="str">
        <f t="shared" si="0"/>
        <v>Number of market participants at each step of the supply chain.</v>
      </c>
      <c r="J13" s="39" t="s">
        <v>475</v>
      </c>
      <c r="K13" s="39" t="str">
        <f t="shared" si="0"/>
        <v>Number of market participants at each step of the supply chain.</v>
      </c>
      <c r="L13" s="39" t="str">
        <f t="shared" si="0"/>
        <v>Number of market participants at each step of the supply chain.</v>
      </c>
      <c r="M13" s="39" t="str">
        <f t="shared" si="0"/>
        <v>Number of market participants at each step of the supply chain.</v>
      </c>
      <c r="N13" s="39" t="str">
        <f t="shared" si="0"/>
        <v>Number of market participants at each step of the supply chain.</v>
      </c>
      <c r="O13" s="39" t="s">
        <v>753</v>
      </c>
      <c r="P13" s="40" t="s">
        <v>476</v>
      </c>
      <c r="Q13" s="40" t="s">
        <v>477</v>
      </c>
      <c r="R13" s="40" t="s">
        <v>477</v>
      </c>
      <c r="S13" s="40" t="str">
        <f t="shared" si="1"/>
        <v>Two-step supply chain: Supplier (producer-distributor or importer-distributor) to customers</v>
      </c>
      <c r="T13" s="40" t="str">
        <f>$Y13</f>
        <v>Two-step supply chain: Supplier (producer-distributor or importer-distributor) to customers</v>
      </c>
      <c r="U13" s="40" t="str">
        <f t="shared" si="1"/>
        <v>Two-step supply chain: Supplier (producer-distributor or importer-distributor) to customers</v>
      </c>
      <c r="V13" s="40" t="str">
        <f t="shared" si="1"/>
        <v>Two-step supply chain: Supplier (producer-distributor or importer-distributor) to customers</v>
      </c>
      <c r="W13" s="40" t="str">
        <f t="shared" si="1"/>
        <v>Two-step supply chain: Supplier (producer-distributor or importer-distributor) to customers</v>
      </c>
      <c r="X13" s="40" t="str">
        <f t="shared" si="1"/>
        <v>Two-step supply chain: Supplier (producer-distributor or importer-distributor) to customers</v>
      </c>
      <c r="Y13" s="40" t="s">
        <v>1051</v>
      </c>
      <c r="Z13" s="41" t="str">
        <f t="shared" si="18"/>
        <v>Short supply chains: Production/import, distribution, retail and wholesale usually done by the same entity.</v>
      </c>
      <c r="AA13" s="41" t="str">
        <f t="shared" si="2"/>
        <v>Short supply chains: Production/import, distribution, retail and wholesale usually done by the same entity.</v>
      </c>
      <c r="AB13" s="41" t="str">
        <f t="shared" si="2"/>
        <v>Short supply chains: Production/import, distribution, retail and wholesale usually done by the same entity.</v>
      </c>
      <c r="AC13" s="41" t="str">
        <f t="shared" si="2"/>
        <v>Short supply chains: Production/import, distribution, retail and wholesale usually done by the same entity.</v>
      </c>
      <c r="AD13" s="41" t="str">
        <f t="shared" si="2"/>
        <v>Short supply chains: Production/import, distribution, retail and wholesale usually done by the same entity.</v>
      </c>
      <c r="AE13" s="41" t="str">
        <f t="shared" si="2"/>
        <v>Short supply chains: Production/import, distribution, retail and wholesale usually done by the same entity.</v>
      </c>
      <c r="AF13" s="41" t="str">
        <f t="shared" si="2"/>
        <v>Short supply chains: Production/import, distribution, retail and wholesale usually done by the same entity.</v>
      </c>
      <c r="AG13" s="41" t="str">
        <f t="shared" si="2"/>
        <v>Short supply chains: Production/import, distribution, retail and wholesale usually done by the same entity.</v>
      </c>
      <c r="AH13" s="41" t="str">
        <f t="shared" si="2"/>
        <v>Short supply chains: Production/import, distribution, retail and wholesale usually done by the same entity.</v>
      </c>
      <c r="AI13" s="41" t="s">
        <v>478</v>
      </c>
      <c r="AJ13" s="42" t="str">
        <f t="shared" si="11"/>
        <v>Visible growth of supply chains: Different stages of the supply chain are done by different entities.</v>
      </c>
      <c r="AK13" s="42" t="str">
        <f t="shared" si="3"/>
        <v>Visible growth of supply chains: Different stages of the supply chain are done by different entities.</v>
      </c>
      <c r="AL13" s="42" t="str">
        <f t="shared" si="3"/>
        <v>Visible growth of supply chains: Different stages of the supply chain are done by different entities.</v>
      </c>
      <c r="AM13" s="42" t="str">
        <f t="shared" si="3"/>
        <v>Visible growth of supply chains: Different stages of the supply chain are done by different entities.</v>
      </c>
      <c r="AN13" s="42" t="str">
        <f t="shared" si="3"/>
        <v>Visible growth of supply chains: Different stages of the supply chain are done by different entities.</v>
      </c>
      <c r="AO13" s="42" t="str">
        <f t="shared" si="3"/>
        <v>Visible growth of supply chains: Different stages of the supply chain are done by different entities.</v>
      </c>
      <c r="AP13" s="42" t="str">
        <f t="shared" si="3"/>
        <v>Visible growth of supply chains: Different stages of the supply chain are done by different entities.</v>
      </c>
      <c r="AQ13" s="42" t="str">
        <f t="shared" si="3"/>
        <v>Visible growth of supply chains: Different stages of the supply chain are done by different entities.</v>
      </c>
      <c r="AR13" s="42" t="str">
        <f t="shared" si="3"/>
        <v>Visible growth of supply chains: Different stages of the supply chain are done by different entities.</v>
      </c>
      <c r="AS13" s="42" t="s">
        <v>479</v>
      </c>
      <c r="AT13" s="43" t="str">
        <f t="shared" si="12"/>
        <v>Complex and/or efficient supply chains: Clearly defined stages of the supply chain are done by different entities.</v>
      </c>
      <c r="AU13" s="43" t="str">
        <f t="shared" si="4"/>
        <v>Complex and/or efficient supply chains: Clearly defined stages of the supply chain are done by different entities.</v>
      </c>
      <c r="AV13" s="43" t="str">
        <f t="shared" si="4"/>
        <v>Complex and/or efficient supply chains: Clearly defined stages of the supply chain are done by different entities.</v>
      </c>
      <c r="AW13" s="43" t="str">
        <f t="shared" si="4"/>
        <v>Complex and/or efficient supply chains: Clearly defined stages of the supply chain are done by different entities.</v>
      </c>
      <c r="AX13" s="43" t="str">
        <f t="shared" si="4"/>
        <v>Complex and/or efficient supply chains: Clearly defined stages of the supply chain are done by different entities.</v>
      </c>
      <c r="AY13" s="43" t="str">
        <f t="shared" si="4"/>
        <v>Complex and/or efficient supply chains: Clearly defined stages of the supply chain are done by different entities.</v>
      </c>
      <c r="AZ13" s="43" t="str">
        <f t="shared" si="4"/>
        <v>Complex and/or efficient supply chains: Clearly defined stages of the supply chain are done by different entities.</v>
      </c>
      <c r="BA13" s="43" t="str">
        <f t="shared" si="4"/>
        <v>Complex and/or efficient supply chains: Clearly defined stages of the supply chain are done by different entities.</v>
      </c>
      <c r="BB13" s="43" t="str">
        <f t="shared" si="4"/>
        <v>Complex and/or efficient supply chains: Clearly defined stages of the supply chain are done by different entities.</v>
      </c>
      <c r="BC13" s="43" t="s">
        <v>480</v>
      </c>
      <c r="BD13" s="244"/>
      <c r="BE13" s="39" t="str">
        <f t="shared" si="13"/>
        <v>Nombre de participants au marché à chaque étape de la chaîne d'approvisionnement.</v>
      </c>
      <c r="BF13" s="39" t="str">
        <f t="shared" si="5"/>
        <v>Nombre de participants au marché à chaque étape de la chaîne d'approvisionnement.</v>
      </c>
      <c r="BG13" s="39" t="str">
        <f t="shared" si="5"/>
        <v>Nombre de participants au marché à chaque étape de la chaîne d'approvisionnement.</v>
      </c>
      <c r="BH13" s="39" t="str">
        <f t="shared" si="5"/>
        <v>Nombre de participants au marché à chaque étape de la chaîne d'approvisionnement.</v>
      </c>
      <c r="BI13" s="39" t="s">
        <v>834</v>
      </c>
      <c r="BJ13" s="39" t="str">
        <f t="shared" si="5"/>
        <v>Nombre de participants au marché à chaque étape de la chaîne d'approvisionnement.</v>
      </c>
      <c r="BK13" s="39" t="str">
        <f t="shared" si="5"/>
        <v>Nombre de participants au marché à chaque étape de la chaîne d'approvisionnement.</v>
      </c>
      <c r="BL13" s="39" t="str">
        <f t="shared" si="5"/>
        <v>Nombre de participants au marché à chaque étape de la chaîne d'approvisionnement.</v>
      </c>
      <c r="BM13" s="39" t="str">
        <f t="shared" si="5"/>
        <v>Nombre de participants au marché à chaque étape de la chaîne d'approvisionnement.</v>
      </c>
      <c r="BN13" s="39" t="s">
        <v>796</v>
      </c>
      <c r="BO13" s="40" t="s">
        <v>863</v>
      </c>
      <c r="BP13" s="40" t="s">
        <v>863</v>
      </c>
      <c r="BQ13" s="40" t="s">
        <v>863</v>
      </c>
      <c r="BR13" s="40" t="str">
        <f t="shared" si="6"/>
        <v>Chaîne d'approvisionnement en deux étapes : Fournisseur (producteur-distributeur ou importateur-distributeur) aux clients.</v>
      </c>
      <c r="BS13" s="40" t="str">
        <f t="shared" si="6"/>
        <v>Chaîne d'approvisionnement en deux étapes : Fournisseur (producteur-distributeur ou importateur-distributeur) aux clients.</v>
      </c>
      <c r="BT13" s="40" t="str">
        <f t="shared" si="6"/>
        <v>Chaîne d'approvisionnement en deux étapes : Fournisseur (producteur-distributeur ou importateur-distributeur) aux clients.</v>
      </c>
      <c r="BU13" s="40" t="str">
        <f t="shared" si="6"/>
        <v>Chaîne d'approvisionnement en deux étapes : Fournisseur (producteur-distributeur ou importateur-distributeur) aux clients.</v>
      </c>
      <c r="BV13" s="40" t="str">
        <f t="shared" si="6"/>
        <v>Chaîne d'approvisionnement en deux étapes : Fournisseur (producteur-distributeur ou importateur-distributeur) aux clients.</v>
      </c>
      <c r="BW13" s="40" t="str">
        <f t="shared" si="6"/>
        <v>Chaîne d'approvisionnement en deux étapes : Fournisseur (producteur-distributeur ou importateur-distributeur) aux clients.</v>
      </c>
      <c r="BX13" s="40" t="s">
        <v>861</v>
      </c>
      <c r="BY13" s="41" t="str">
        <f t="shared" si="19"/>
        <v>Chaînes d'approvisionnement courtes : La production/importation, la distribution, la vente en gros et la vente au détail sont généralement assurées par la même entité.</v>
      </c>
      <c r="BZ13" s="41" t="str">
        <f t="shared" si="7"/>
        <v>Chaînes d'approvisionnement courtes : La production/importation, la distribution, la vente en gros et la vente au détail sont généralement assurées par la même entité.</v>
      </c>
      <c r="CA13" s="41" t="str">
        <f t="shared" si="7"/>
        <v>Chaînes d'approvisionnement courtes : La production/importation, la distribution, la vente en gros et la vente au détail sont généralement assurées par la même entité.</v>
      </c>
      <c r="CB13" s="41" t="str">
        <f t="shared" si="7"/>
        <v>Chaînes d'approvisionnement courtes : La production/importation, la distribution, la vente en gros et la vente au détail sont généralement assurées par la même entité.</v>
      </c>
      <c r="CC13" s="41" t="str">
        <f t="shared" si="7"/>
        <v>Chaînes d'approvisionnement courtes : La production/importation, la distribution, la vente en gros et la vente au détail sont généralement assurées par la même entité.</v>
      </c>
      <c r="CD13" s="41" t="str">
        <f t="shared" si="7"/>
        <v>Chaînes d'approvisionnement courtes : La production/importation, la distribution, la vente en gros et la vente au détail sont généralement assurées par la même entité.</v>
      </c>
      <c r="CE13" s="41" t="str">
        <f t="shared" si="7"/>
        <v>Chaînes d'approvisionnement courtes : La production/importation, la distribution, la vente en gros et la vente au détail sont généralement assurées par la même entité.</v>
      </c>
      <c r="CF13" s="41" t="str">
        <f t="shared" si="7"/>
        <v>Chaînes d'approvisionnement courtes : La production/importation, la distribution, la vente en gros et la vente au détail sont généralement assurées par la même entité.</v>
      </c>
      <c r="CG13" s="41" t="str">
        <f t="shared" si="7"/>
        <v>Chaînes d'approvisionnement courtes : La production/importation, la distribution, la vente en gros et la vente au détail sont généralement assurées par la même entité.</v>
      </c>
      <c r="CH13" s="41" t="s">
        <v>909</v>
      </c>
      <c r="CI13" s="42" t="str">
        <f t="shared" si="15"/>
        <v>Croissance visible des chaînes d'approvisionnement : Les différentes étapes de la chaîne d'approvisionnement sont réalisées par des entités différentes.</v>
      </c>
      <c r="CJ13" s="42" t="str">
        <f t="shared" si="8"/>
        <v>Croissance visible des chaînes d'approvisionnement : Les différentes étapes de la chaîne d'approvisionnement sont réalisées par des entités différentes.</v>
      </c>
      <c r="CK13" s="42" t="str">
        <f t="shared" si="8"/>
        <v>Croissance visible des chaînes d'approvisionnement : Les différentes étapes de la chaîne d'approvisionnement sont réalisées par des entités différentes.</v>
      </c>
      <c r="CL13" s="42" t="str">
        <f t="shared" si="8"/>
        <v>Croissance visible des chaînes d'approvisionnement : Les différentes étapes de la chaîne d'approvisionnement sont réalisées par des entités différentes.</v>
      </c>
      <c r="CM13" s="42" t="str">
        <f t="shared" si="8"/>
        <v>Croissance visible des chaînes d'approvisionnement : Les différentes étapes de la chaîne d'approvisionnement sont réalisées par des entités différentes.</v>
      </c>
      <c r="CN13" s="42" t="str">
        <f t="shared" si="8"/>
        <v>Croissance visible des chaînes d'approvisionnement : Les différentes étapes de la chaîne d'approvisionnement sont réalisées par des entités différentes.</v>
      </c>
      <c r="CO13" s="42" t="str">
        <f t="shared" si="8"/>
        <v>Croissance visible des chaînes d'approvisionnement : Les différentes étapes de la chaîne d'approvisionnement sont réalisées par des entités différentes.</v>
      </c>
      <c r="CP13" s="42" t="str">
        <f t="shared" si="8"/>
        <v>Croissance visible des chaînes d'approvisionnement : Les différentes étapes de la chaîne d'approvisionnement sont réalisées par des entités différentes.</v>
      </c>
      <c r="CQ13" s="42" t="str">
        <f t="shared" si="8"/>
        <v>Croissance visible des chaînes d'approvisionnement : Les différentes étapes de la chaîne d'approvisionnement sont réalisées par des entités différentes.</v>
      </c>
      <c r="CR13" s="42" t="s">
        <v>946</v>
      </c>
      <c r="CS13" s="43" t="str">
        <f t="shared" si="16"/>
        <v>Chaînes d'approvisionnement complexes et/ou efficaces : Des étapes clairement définies de la chaîne d'approvisionnement sont réalisées par des entités différentes.</v>
      </c>
      <c r="CT13" s="43" t="str">
        <f t="shared" si="9"/>
        <v>Chaînes d'approvisionnement complexes et/ou efficaces : Des étapes clairement définies de la chaîne d'approvisionnement sont réalisées par des entités différentes.</v>
      </c>
      <c r="CU13" s="43" t="str">
        <f t="shared" si="9"/>
        <v>Chaînes d'approvisionnement complexes et/ou efficaces : Des étapes clairement définies de la chaîne d'approvisionnement sont réalisées par des entités différentes.</v>
      </c>
      <c r="CV13" s="43" t="str">
        <f t="shared" si="9"/>
        <v>Chaînes d'approvisionnement complexes et/ou efficaces : Des étapes clairement définies de la chaîne d'approvisionnement sont réalisées par des entités différentes.</v>
      </c>
      <c r="CW13" s="43" t="str">
        <f t="shared" si="9"/>
        <v>Chaînes d'approvisionnement complexes et/ou efficaces : Des étapes clairement définies de la chaîne d'approvisionnement sont réalisées par des entités différentes.</v>
      </c>
      <c r="CX13" s="43" t="str">
        <f t="shared" si="9"/>
        <v>Chaînes d'approvisionnement complexes et/ou efficaces : Des étapes clairement définies de la chaîne d'approvisionnement sont réalisées par des entités différentes.</v>
      </c>
      <c r="CY13" s="43" t="str">
        <f t="shared" si="9"/>
        <v>Chaînes d'approvisionnement complexes et/ou efficaces : Des étapes clairement définies de la chaîne d'approvisionnement sont réalisées par des entités différentes.</v>
      </c>
      <c r="CZ13" s="43" t="str">
        <f t="shared" si="9"/>
        <v>Chaînes d'approvisionnement complexes et/ou efficaces : Des étapes clairement définies de la chaîne d'approvisionnement sont réalisées par des entités différentes.</v>
      </c>
      <c r="DA13" s="43" t="str">
        <f t="shared" si="9"/>
        <v>Chaînes d'approvisionnement complexes et/ou efficaces : Des étapes clairement définies de la chaîne d'approvisionnement sont réalisées par des entités différentes.</v>
      </c>
      <c r="DB13" s="43" t="s">
        <v>1019</v>
      </c>
      <c r="DC13" s="441"/>
    </row>
    <row r="14" spans="1:107" ht="80.099999999999994" customHeight="1" thickTop="1" thickBot="1" x14ac:dyDescent="0.25">
      <c r="A14" s="244"/>
      <c r="B14" s="645"/>
      <c r="C14" s="647"/>
      <c r="D14" s="135" t="s">
        <v>37</v>
      </c>
      <c r="E14" s="48" t="s">
        <v>137</v>
      </c>
      <c r="F14" s="39" t="str">
        <f t="shared" si="10"/>
        <v>Efficiency of distribution channels and capacity to adapt to changes in demand.</v>
      </c>
      <c r="G14" s="39" t="str">
        <f t="shared" si="0"/>
        <v>Efficiency of distribution channels and capacity to adapt to changes in demand.</v>
      </c>
      <c r="H14" s="39" t="str">
        <f t="shared" si="0"/>
        <v>Efficiency of distribution channels and capacity to adapt to changes in demand.</v>
      </c>
      <c r="I14" s="39" t="str">
        <f t="shared" si="0"/>
        <v>Efficiency of distribution channels and capacity to adapt to changes in demand.</v>
      </c>
      <c r="J14" s="39" t="str">
        <f t="shared" si="0"/>
        <v>Efficiency of distribution channels and capacity to adapt to changes in demand.</v>
      </c>
      <c r="K14" s="39" t="str">
        <f t="shared" si="0"/>
        <v>Efficiency of distribution channels and capacity to adapt to changes in demand.</v>
      </c>
      <c r="L14" s="39" t="str">
        <f t="shared" si="0"/>
        <v>Efficiency of distribution channels and capacity to adapt to changes in demand.</v>
      </c>
      <c r="M14" s="39" t="str">
        <f t="shared" si="0"/>
        <v>Efficiency of distribution channels and capacity to adapt to changes in demand.</v>
      </c>
      <c r="N14" s="39" t="str">
        <f t="shared" si="0"/>
        <v>Efficiency of distribution channels and capacity to adapt to changes in demand.</v>
      </c>
      <c r="O14" s="48" t="s">
        <v>754</v>
      </c>
      <c r="P14" s="40" t="str">
        <f t="shared" si="17"/>
        <v>Appropriate distribution channels do not exist.</v>
      </c>
      <c r="Q14" s="40" t="str">
        <f t="shared" si="1"/>
        <v>Appropriate distribution channels do not exist.</v>
      </c>
      <c r="R14" s="40" t="str">
        <f t="shared" si="1"/>
        <v>Appropriate distribution channels do not exist.</v>
      </c>
      <c r="S14" s="40" t="str">
        <f t="shared" si="1"/>
        <v>Appropriate distribution channels do not exist.</v>
      </c>
      <c r="T14" s="40" t="str">
        <f t="shared" si="1"/>
        <v>Appropriate distribution channels do not exist.</v>
      </c>
      <c r="U14" s="40" t="str">
        <f t="shared" si="1"/>
        <v>Appropriate distribution channels do not exist.</v>
      </c>
      <c r="V14" s="40" t="str">
        <f t="shared" si="1"/>
        <v>Appropriate distribution channels do not exist.</v>
      </c>
      <c r="W14" s="40" t="str">
        <f t="shared" si="1"/>
        <v>Appropriate distribution channels do not exist.</v>
      </c>
      <c r="X14" s="40" t="str">
        <f t="shared" si="1"/>
        <v>Appropriate distribution channels do not exist.</v>
      </c>
      <c r="Y14" s="40" t="s">
        <v>481</v>
      </c>
      <c r="Z14" s="41" t="str">
        <f t="shared" si="18"/>
        <v>Weak distribution channels</v>
      </c>
      <c r="AA14" s="41" t="str">
        <f t="shared" si="2"/>
        <v>Weak distribution channels</v>
      </c>
      <c r="AB14" s="41" t="str">
        <f t="shared" si="2"/>
        <v>Weak distribution channels</v>
      </c>
      <c r="AC14" s="41" t="str">
        <f t="shared" si="2"/>
        <v>Weak distribution channels</v>
      </c>
      <c r="AD14" s="41" t="str">
        <f t="shared" si="2"/>
        <v>Weak distribution channels</v>
      </c>
      <c r="AE14" s="41" t="str">
        <f t="shared" si="2"/>
        <v>Weak distribution channels</v>
      </c>
      <c r="AF14" s="41" t="str">
        <f t="shared" si="2"/>
        <v>Weak distribution channels</v>
      </c>
      <c r="AG14" s="41" t="str">
        <f t="shared" si="2"/>
        <v>Weak distribution channels</v>
      </c>
      <c r="AH14" s="41" t="str">
        <f t="shared" si="2"/>
        <v>Weak distribution channels</v>
      </c>
      <c r="AI14" s="41" t="s">
        <v>482</v>
      </c>
      <c r="AJ14" s="42" t="str">
        <f t="shared" si="11"/>
        <v>Improved distribution channels/network</v>
      </c>
      <c r="AK14" s="42" t="str">
        <f t="shared" si="3"/>
        <v>Improved distribution channels/network</v>
      </c>
      <c r="AL14" s="42" t="str">
        <f t="shared" si="3"/>
        <v>Improved distribution channels/network</v>
      </c>
      <c r="AM14" s="42" t="str">
        <f t="shared" si="3"/>
        <v>Improved distribution channels/network</v>
      </c>
      <c r="AN14" s="42" t="str">
        <f t="shared" si="3"/>
        <v>Improved distribution channels/network</v>
      </c>
      <c r="AO14" s="42" t="str">
        <f t="shared" si="3"/>
        <v>Improved distribution channels/network</v>
      </c>
      <c r="AP14" s="42" t="str">
        <f t="shared" si="3"/>
        <v>Improved distribution channels/network</v>
      </c>
      <c r="AQ14" s="42" t="str">
        <f t="shared" si="3"/>
        <v>Improved distribution channels/network</v>
      </c>
      <c r="AR14" s="42" t="str">
        <f t="shared" si="3"/>
        <v>Improved distribution channels/network</v>
      </c>
      <c r="AS14" s="42" t="s">
        <v>483</v>
      </c>
      <c r="AT14" s="43" t="str">
        <f t="shared" si="12"/>
        <v>Distribution channels/network consolidated</v>
      </c>
      <c r="AU14" s="43" t="str">
        <f t="shared" si="4"/>
        <v>Distribution channels/network consolidated</v>
      </c>
      <c r="AV14" s="43" t="str">
        <f t="shared" si="4"/>
        <v>Distribution channels/network consolidated</v>
      </c>
      <c r="AW14" s="43" t="str">
        <f t="shared" si="4"/>
        <v>Distribution channels/network consolidated</v>
      </c>
      <c r="AX14" s="43" t="str">
        <f t="shared" si="4"/>
        <v>Distribution channels/network consolidated</v>
      </c>
      <c r="AY14" s="43" t="str">
        <f t="shared" si="4"/>
        <v>Distribution channels/network consolidated</v>
      </c>
      <c r="AZ14" s="43" t="str">
        <f t="shared" si="4"/>
        <v>Distribution channels/network consolidated</v>
      </c>
      <c r="BA14" s="43" t="str">
        <f t="shared" si="4"/>
        <v>Distribution channels/network consolidated</v>
      </c>
      <c r="BB14" s="43" t="str">
        <f t="shared" si="4"/>
        <v>Distribution channels/network consolidated</v>
      </c>
      <c r="BC14" s="43" t="s">
        <v>484</v>
      </c>
      <c r="BD14" s="244"/>
      <c r="BE14" s="39" t="str">
        <f t="shared" si="13"/>
        <v>Efficacité des canaux de distribution et capacité d'adaptation à l'évolution de la demande.</v>
      </c>
      <c r="BF14" s="39" t="str">
        <f t="shared" si="5"/>
        <v>Efficacité des canaux de distribution et capacité d'adaptation à l'évolution de la demande.</v>
      </c>
      <c r="BG14" s="39" t="str">
        <f t="shared" si="5"/>
        <v>Efficacité des canaux de distribution et capacité d'adaptation à l'évolution de la demande.</v>
      </c>
      <c r="BH14" s="39" t="str">
        <f t="shared" si="5"/>
        <v>Efficacité des canaux de distribution et capacité d'adaptation à l'évolution de la demande.</v>
      </c>
      <c r="BI14" s="39" t="str">
        <f t="shared" si="5"/>
        <v>Efficacité des canaux de distribution et capacité d'adaptation à l'évolution de la demande.</v>
      </c>
      <c r="BJ14" s="39" t="str">
        <f t="shared" si="5"/>
        <v>Efficacité des canaux de distribution et capacité d'adaptation à l'évolution de la demande.</v>
      </c>
      <c r="BK14" s="39" t="str">
        <f t="shared" si="5"/>
        <v>Efficacité des canaux de distribution et capacité d'adaptation à l'évolution de la demande.</v>
      </c>
      <c r="BL14" s="39" t="str">
        <f t="shared" si="5"/>
        <v>Efficacité des canaux de distribution et capacité d'adaptation à l'évolution de la demande.</v>
      </c>
      <c r="BM14" s="39" t="str">
        <f t="shared" si="5"/>
        <v>Efficacité des canaux de distribution et capacité d'adaptation à l'évolution de la demande.</v>
      </c>
      <c r="BN14" s="48" t="s">
        <v>797</v>
      </c>
      <c r="BO14" s="40" t="str">
        <f t="shared" si="14"/>
        <v>Il n'existe pas de canaux de distribution appropriés.</v>
      </c>
      <c r="BP14" s="40" t="str">
        <f t="shared" si="6"/>
        <v>Il n'existe pas de canaux de distribution appropriés.</v>
      </c>
      <c r="BQ14" s="40" t="str">
        <f t="shared" si="6"/>
        <v>Il n'existe pas de canaux de distribution appropriés.</v>
      </c>
      <c r="BR14" s="40" t="str">
        <f t="shared" si="6"/>
        <v>Il n'existe pas de canaux de distribution appropriés.</v>
      </c>
      <c r="BS14" s="40" t="str">
        <f t="shared" si="6"/>
        <v>Il n'existe pas de canaux de distribution appropriés.</v>
      </c>
      <c r="BT14" s="40" t="str">
        <f t="shared" si="6"/>
        <v>Il n'existe pas de canaux de distribution appropriés.</v>
      </c>
      <c r="BU14" s="40" t="str">
        <f t="shared" si="6"/>
        <v>Il n'existe pas de canaux de distribution appropriés.</v>
      </c>
      <c r="BV14" s="40" t="str">
        <f t="shared" si="6"/>
        <v>Il n'existe pas de canaux de distribution appropriés.</v>
      </c>
      <c r="BW14" s="40" t="str">
        <f t="shared" si="6"/>
        <v>Il n'existe pas de canaux de distribution appropriés.</v>
      </c>
      <c r="BX14" s="40" t="s">
        <v>862</v>
      </c>
      <c r="BY14" s="41" t="str">
        <f t="shared" si="19"/>
        <v>Faibles canaux de distribution</v>
      </c>
      <c r="BZ14" s="41" t="str">
        <f t="shared" si="7"/>
        <v>Faibles canaux de distribution</v>
      </c>
      <c r="CA14" s="41" t="str">
        <f t="shared" si="7"/>
        <v>Faibles canaux de distribution</v>
      </c>
      <c r="CB14" s="41" t="str">
        <f t="shared" si="7"/>
        <v>Faibles canaux de distribution</v>
      </c>
      <c r="CC14" s="41" t="str">
        <f t="shared" si="7"/>
        <v>Faibles canaux de distribution</v>
      </c>
      <c r="CD14" s="41" t="str">
        <f t="shared" si="7"/>
        <v>Faibles canaux de distribution</v>
      </c>
      <c r="CE14" s="41" t="str">
        <f t="shared" si="7"/>
        <v>Faibles canaux de distribution</v>
      </c>
      <c r="CF14" s="41" t="str">
        <f t="shared" si="7"/>
        <v>Faibles canaux de distribution</v>
      </c>
      <c r="CG14" s="41" t="str">
        <f t="shared" si="7"/>
        <v>Faibles canaux de distribution</v>
      </c>
      <c r="CH14" s="41" t="s">
        <v>910</v>
      </c>
      <c r="CI14" s="42" t="str">
        <f t="shared" si="15"/>
        <v>Amélioration des canaux/réseaux de distribution</v>
      </c>
      <c r="CJ14" s="42" t="str">
        <f t="shared" si="8"/>
        <v>Amélioration des canaux/réseaux de distribution</v>
      </c>
      <c r="CK14" s="42" t="str">
        <f t="shared" si="8"/>
        <v>Amélioration des canaux/réseaux de distribution</v>
      </c>
      <c r="CL14" s="42" t="str">
        <f t="shared" si="8"/>
        <v>Amélioration des canaux/réseaux de distribution</v>
      </c>
      <c r="CM14" s="42" t="str">
        <f t="shared" si="8"/>
        <v>Amélioration des canaux/réseaux de distribution</v>
      </c>
      <c r="CN14" s="42" t="str">
        <f t="shared" si="8"/>
        <v>Amélioration des canaux/réseaux de distribution</v>
      </c>
      <c r="CO14" s="42" t="str">
        <f t="shared" si="8"/>
        <v>Amélioration des canaux/réseaux de distribution</v>
      </c>
      <c r="CP14" s="42" t="str">
        <f t="shared" si="8"/>
        <v>Amélioration des canaux/réseaux de distribution</v>
      </c>
      <c r="CQ14" s="42" t="str">
        <f t="shared" si="8"/>
        <v>Amélioration des canaux/réseaux de distribution</v>
      </c>
      <c r="CR14" s="42" t="s">
        <v>947</v>
      </c>
      <c r="CS14" s="43" t="str">
        <f t="shared" si="16"/>
        <v>Canaux de distribution/réseau consolidé.</v>
      </c>
      <c r="CT14" s="43" t="str">
        <f t="shared" si="9"/>
        <v>Canaux de distribution/réseau consolidé.</v>
      </c>
      <c r="CU14" s="43" t="str">
        <f t="shared" si="9"/>
        <v>Canaux de distribution/réseau consolidé.</v>
      </c>
      <c r="CV14" s="43" t="str">
        <f t="shared" si="9"/>
        <v>Canaux de distribution/réseau consolidé.</v>
      </c>
      <c r="CW14" s="43" t="str">
        <f t="shared" si="9"/>
        <v>Canaux de distribution/réseau consolidé.</v>
      </c>
      <c r="CX14" s="43" t="str">
        <f t="shared" si="9"/>
        <v>Canaux de distribution/réseau consolidé.</v>
      </c>
      <c r="CY14" s="43" t="str">
        <f t="shared" si="9"/>
        <v>Canaux de distribution/réseau consolidé.</v>
      </c>
      <c r="CZ14" s="43" t="str">
        <f t="shared" si="9"/>
        <v>Canaux de distribution/réseau consolidé.</v>
      </c>
      <c r="DA14" s="43" t="str">
        <f t="shared" si="9"/>
        <v>Canaux de distribution/réseau consolidé.</v>
      </c>
      <c r="DB14" s="43" t="s">
        <v>1003</v>
      </c>
      <c r="DC14" s="441"/>
    </row>
    <row r="15" spans="1:107" ht="80.099999999999994" customHeight="1" thickTop="1" thickBot="1" x14ac:dyDescent="0.25">
      <c r="A15" s="244"/>
      <c r="B15" s="645"/>
      <c r="C15" s="647"/>
      <c r="D15" s="135" t="s">
        <v>485</v>
      </c>
      <c r="E15" s="39" t="s">
        <v>360</v>
      </c>
      <c r="F15" s="39" t="str">
        <f t="shared" si="10"/>
        <v>Number of suppliers to the supply-side businesses e.g. specialised service providers and component-suppliers (raw materials, spare parts, accessories, etc.)</v>
      </c>
      <c r="G15" s="39" t="str">
        <f t="shared" si="0"/>
        <v>Number of suppliers to the supply-side businesses e.g. specialised service providers and component-suppliers (raw materials, spare parts, accessories, etc.)</v>
      </c>
      <c r="H15" s="39" t="str">
        <f t="shared" si="0"/>
        <v>Number of suppliers to the supply-side businesses e.g. specialised service providers and component-suppliers (raw materials, spare parts, accessories, etc.)</v>
      </c>
      <c r="I15" s="39" t="str">
        <f t="shared" si="0"/>
        <v>Number of suppliers to the supply-side businesses e.g. specialised service providers and component-suppliers (raw materials, spare parts, accessories, etc.)</v>
      </c>
      <c r="J15" s="39" t="str">
        <f t="shared" si="0"/>
        <v>Number of suppliers to the supply-side businesses e.g. specialised service providers and component-suppliers (raw materials, spare parts, accessories, etc.)</v>
      </c>
      <c r="K15" s="39" t="str">
        <f t="shared" si="0"/>
        <v>Number of suppliers to the supply-side businesses e.g. specialised service providers and component-suppliers (raw materials, spare parts, accessories, etc.)</v>
      </c>
      <c r="L15" s="39" t="str">
        <f t="shared" si="0"/>
        <v>Number of suppliers to the supply-side businesses e.g. specialised service providers and component-suppliers (raw materials, spare parts, accessories, etc.)</v>
      </c>
      <c r="M15" s="39" t="str">
        <f t="shared" si="0"/>
        <v>Number of suppliers to the supply-side businesses e.g. specialised service providers and component-suppliers (raw materials, spare parts, accessories, etc.)</v>
      </c>
      <c r="N15" s="39" t="str">
        <f t="shared" si="0"/>
        <v>Number of suppliers to the supply-side businesses e.g. specialised service providers and component-suppliers (raw materials, spare parts, accessories, etc.)</v>
      </c>
      <c r="O15" s="39" t="s">
        <v>1045</v>
      </c>
      <c r="P15" s="40" t="s">
        <v>486</v>
      </c>
      <c r="Q15" s="40" t="s">
        <v>1048</v>
      </c>
      <c r="R15" s="40" t="s">
        <v>1048</v>
      </c>
      <c r="S15" s="40" t="str">
        <f t="shared" si="1"/>
        <v>None or very few initial suppliers</v>
      </c>
      <c r="T15" s="40" t="str">
        <f t="shared" si="1"/>
        <v>None or very few initial suppliers</v>
      </c>
      <c r="U15" s="40" t="str">
        <f t="shared" si="1"/>
        <v>None or very few initial suppliers</v>
      </c>
      <c r="V15" s="40" t="str">
        <f t="shared" si="1"/>
        <v>None or very few initial suppliers</v>
      </c>
      <c r="W15" s="40" t="s">
        <v>1052</v>
      </c>
      <c r="X15" s="40" t="str">
        <f t="shared" si="1"/>
        <v>None or very few initial suppliers</v>
      </c>
      <c r="Y15" s="40" t="s">
        <v>730</v>
      </c>
      <c r="Z15" s="41" t="str">
        <f t="shared" si="18"/>
        <v>Few initial suppliers</v>
      </c>
      <c r="AA15" s="41" t="str">
        <f t="shared" si="2"/>
        <v>Few initial suppliers</v>
      </c>
      <c r="AB15" s="41" t="str">
        <f t="shared" si="2"/>
        <v>Few initial suppliers</v>
      </c>
      <c r="AC15" s="41" t="str">
        <f t="shared" si="2"/>
        <v>Few initial suppliers</v>
      </c>
      <c r="AD15" s="41" t="str">
        <f t="shared" si="2"/>
        <v>Few initial suppliers</v>
      </c>
      <c r="AE15" s="41" t="str">
        <f t="shared" si="2"/>
        <v>Few initial suppliers</v>
      </c>
      <c r="AF15" s="41" t="str">
        <f t="shared" si="2"/>
        <v>Few initial suppliers</v>
      </c>
      <c r="AG15" s="41" t="str">
        <f t="shared" si="2"/>
        <v>Few initial suppliers</v>
      </c>
      <c r="AH15" s="41" t="str">
        <f t="shared" si="2"/>
        <v>Few initial suppliers</v>
      </c>
      <c r="AI15" s="41" t="s">
        <v>487</v>
      </c>
      <c r="AJ15" s="42" t="str">
        <f t="shared" si="11"/>
        <v>Many initial suppliers</v>
      </c>
      <c r="AK15" s="42" t="str">
        <f t="shared" si="3"/>
        <v>Many initial suppliers</v>
      </c>
      <c r="AL15" s="42" t="str">
        <f t="shared" si="3"/>
        <v>Many initial suppliers</v>
      </c>
      <c r="AM15" s="42" t="str">
        <f t="shared" si="3"/>
        <v>Many initial suppliers</v>
      </c>
      <c r="AN15" s="42" t="str">
        <f t="shared" si="3"/>
        <v>Many initial suppliers</v>
      </c>
      <c r="AO15" s="42" t="str">
        <f t="shared" si="3"/>
        <v>Many initial suppliers</v>
      </c>
      <c r="AP15" s="42" t="str">
        <f t="shared" si="3"/>
        <v>Many initial suppliers</v>
      </c>
      <c r="AQ15" s="42" t="str">
        <f t="shared" si="3"/>
        <v>Many initial suppliers</v>
      </c>
      <c r="AR15" s="42" t="str">
        <f t="shared" si="3"/>
        <v>Many initial suppliers</v>
      </c>
      <c r="AS15" s="42" t="s">
        <v>488</v>
      </c>
      <c r="AT15" s="43" t="str">
        <f t="shared" si="12"/>
        <v>Established network infrastructure of initial suppliers</v>
      </c>
      <c r="AU15" s="43" t="str">
        <f t="shared" si="4"/>
        <v>Established network infrastructure of initial suppliers</v>
      </c>
      <c r="AV15" s="43" t="str">
        <f t="shared" si="4"/>
        <v>Established network infrastructure of initial suppliers</v>
      </c>
      <c r="AW15" s="43" t="str">
        <f t="shared" si="4"/>
        <v>Established network infrastructure of initial suppliers</v>
      </c>
      <c r="AX15" s="43" t="str">
        <f t="shared" si="4"/>
        <v>Established network infrastructure of initial suppliers</v>
      </c>
      <c r="AY15" s="43" t="str">
        <f t="shared" si="4"/>
        <v>Established network infrastructure of initial suppliers</v>
      </c>
      <c r="AZ15" s="43" t="str">
        <f t="shared" si="4"/>
        <v>Established network infrastructure of initial suppliers</v>
      </c>
      <c r="BA15" s="43" t="str">
        <f t="shared" si="4"/>
        <v>Established network infrastructure of initial suppliers</v>
      </c>
      <c r="BB15" s="43" t="str">
        <f t="shared" si="4"/>
        <v>Established network infrastructure of initial suppliers</v>
      </c>
      <c r="BC15" s="43" t="s">
        <v>489</v>
      </c>
      <c r="BD15" s="244"/>
      <c r="BE15" s="39" t="str">
        <f t="shared" si="13"/>
        <v>Nombre de fournisseurs des entreprises du côté de l'offre, par exemple les prestataires de services spécialisés et les fournisseurs de composants (matières premières, pièces de rechange, accessoires, etc.)</v>
      </c>
      <c r="BF15" s="39" t="str">
        <f t="shared" si="5"/>
        <v>Nombre de fournisseurs des entreprises du côté de l'offre, par exemple les prestataires de services spécialisés et les fournisseurs de composants (matières premières, pièces de rechange, accessoires, etc.)</v>
      </c>
      <c r="BG15" s="39" t="str">
        <f t="shared" si="5"/>
        <v>Nombre de fournisseurs des entreprises du côté de l'offre, par exemple les prestataires de services spécialisés et les fournisseurs de composants (matières premières, pièces de rechange, accessoires, etc.)</v>
      </c>
      <c r="BH15" s="39" t="str">
        <f t="shared" si="5"/>
        <v>Nombre de fournisseurs des entreprises du côté de l'offre, par exemple les prestataires de services spécialisés et les fournisseurs de composants (matières premières, pièces de rechange, accessoires, etc.)</v>
      </c>
      <c r="BI15" s="39" t="str">
        <f t="shared" si="5"/>
        <v>Nombre de fournisseurs des entreprises du côté de l'offre, par exemple les prestataires de services spécialisés et les fournisseurs de composants (matières premières, pièces de rechange, accessoires, etc.)</v>
      </c>
      <c r="BJ15" s="39" t="str">
        <f t="shared" si="5"/>
        <v>Nombre de fournisseurs des entreprises du côté de l'offre, par exemple les prestataires de services spécialisés et les fournisseurs de composants (matières premières, pièces de rechange, accessoires, etc.)</v>
      </c>
      <c r="BK15" s="39" t="str">
        <f t="shared" si="5"/>
        <v>Nombre de fournisseurs des entreprises du côté de l'offre, par exemple les prestataires de services spécialisés et les fournisseurs de composants (matières premières, pièces de rechange, accessoires, etc.)</v>
      </c>
      <c r="BL15" s="39" t="str">
        <f t="shared" si="5"/>
        <v>Nombre de fournisseurs des entreprises du côté de l'offre, par exemple les prestataires de services spécialisés et les fournisseurs de composants (matières premières, pièces de rechange, accessoires, etc.)</v>
      </c>
      <c r="BM15" s="39" t="str">
        <f t="shared" si="5"/>
        <v>Nombre de fournisseurs des entreprises du côté de l'offre, par exemple les prestataires de services spécialisés et les fournisseurs de composants (matières premières, pièces de rechange, accessoires, etc.)</v>
      </c>
      <c r="BN15" s="39" t="s">
        <v>798</v>
      </c>
      <c r="BO15" s="40" t="str">
        <f t="shared" si="14"/>
        <v>Pas ou très peu de fournisseurs initiaux.</v>
      </c>
      <c r="BP15" s="40" t="str">
        <f t="shared" si="6"/>
        <v>Pas ou très peu de fournisseurs initiaux.</v>
      </c>
      <c r="BQ15" s="40" t="str">
        <f t="shared" si="6"/>
        <v>Pas ou très peu de fournisseurs initiaux.</v>
      </c>
      <c r="BR15" s="40" t="str">
        <f t="shared" si="6"/>
        <v>Pas ou très peu de fournisseurs initiaux.</v>
      </c>
      <c r="BS15" s="40" t="str">
        <f t="shared" si="6"/>
        <v>Pas ou très peu de fournisseurs initiaux.</v>
      </c>
      <c r="BT15" s="40" t="str">
        <f t="shared" si="6"/>
        <v>Pas ou très peu de fournisseurs initiaux.</v>
      </c>
      <c r="BU15" s="40" t="str">
        <f t="shared" si="6"/>
        <v>Pas ou très peu de fournisseurs initiaux.</v>
      </c>
      <c r="BV15" s="40" t="str">
        <f t="shared" si="6"/>
        <v>Pas ou très peu de fournisseurs initiaux.</v>
      </c>
      <c r="BW15" s="40" t="str">
        <f t="shared" si="6"/>
        <v>Pas ou très peu de fournisseurs initiaux.</v>
      </c>
      <c r="BX15" s="40" t="s">
        <v>864</v>
      </c>
      <c r="BY15" s="41" t="str">
        <f t="shared" si="19"/>
        <v>Peu de fournisseurs initiaux</v>
      </c>
      <c r="BZ15" s="41" t="str">
        <f t="shared" si="7"/>
        <v>Peu de fournisseurs initiaux</v>
      </c>
      <c r="CA15" s="41" t="str">
        <f t="shared" si="7"/>
        <v>Peu de fournisseurs initiaux</v>
      </c>
      <c r="CB15" s="41" t="str">
        <f t="shared" si="7"/>
        <v>Peu de fournisseurs initiaux</v>
      </c>
      <c r="CC15" s="41" t="str">
        <f t="shared" si="7"/>
        <v>Peu de fournisseurs initiaux</v>
      </c>
      <c r="CD15" s="41" t="str">
        <f t="shared" si="7"/>
        <v>Peu de fournisseurs initiaux</v>
      </c>
      <c r="CE15" s="41" t="str">
        <f t="shared" si="7"/>
        <v>Peu de fournisseurs initiaux</v>
      </c>
      <c r="CF15" s="41" t="str">
        <f t="shared" si="7"/>
        <v>Peu de fournisseurs initiaux</v>
      </c>
      <c r="CG15" s="41" t="str">
        <f t="shared" si="7"/>
        <v>Peu de fournisseurs initiaux</v>
      </c>
      <c r="CH15" s="41" t="s">
        <v>911</v>
      </c>
      <c r="CI15" s="42" t="str">
        <f t="shared" si="15"/>
        <v>Beaucoup de fournisseurs initiaux</v>
      </c>
      <c r="CJ15" s="42" t="str">
        <f t="shared" si="8"/>
        <v>Beaucoup de fournisseurs initiaux</v>
      </c>
      <c r="CK15" s="42" t="str">
        <f t="shared" si="8"/>
        <v>Beaucoup de fournisseurs initiaux</v>
      </c>
      <c r="CL15" s="42" t="str">
        <f t="shared" si="8"/>
        <v>Beaucoup de fournisseurs initiaux</v>
      </c>
      <c r="CM15" s="42" t="str">
        <f t="shared" si="8"/>
        <v>Beaucoup de fournisseurs initiaux</v>
      </c>
      <c r="CN15" s="42" t="str">
        <f t="shared" si="8"/>
        <v>Beaucoup de fournisseurs initiaux</v>
      </c>
      <c r="CO15" s="42" t="str">
        <f t="shared" si="8"/>
        <v>Beaucoup de fournisseurs initiaux</v>
      </c>
      <c r="CP15" s="42" t="str">
        <f t="shared" si="8"/>
        <v>Beaucoup de fournisseurs initiaux</v>
      </c>
      <c r="CQ15" s="42" t="str">
        <f t="shared" si="8"/>
        <v>Beaucoup de fournisseurs initiaux</v>
      </c>
      <c r="CR15" s="42" t="s">
        <v>948</v>
      </c>
      <c r="CS15" s="43" t="str">
        <f t="shared" si="16"/>
        <v>Infrastructure de réseau établie de fournisseurs initiaux.</v>
      </c>
      <c r="CT15" s="43" t="str">
        <f t="shared" si="9"/>
        <v>Infrastructure de réseau établie de fournisseurs initiaux.</v>
      </c>
      <c r="CU15" s="43" t="str">
        <f t="shared" si="9"/>
        <v>Infrastructure de réseau établie de fournisseurs initiaux.</v>
      </c>
      <c r="CV15" s="43" t="str">
        <f t="shared" si="9"/>
        <v>Infrastructure de réseau établie de fournisseurs initiaux.</v>
      </c>
      <c r="CW15" s="43" t="str">
        <f t="shared" si="9"/>
        <v>Infrastructure de réseau établie de fournisseurs initiaux.</v>
      </c>
      <c r="CX15" s="43" t="str">
        <f t="shared" si="9"/>
        <v>Infrastructure de réseau établie de fournisseurs initiaux.</v>
      </c>
      <c r="CY15" s="43" t="str">
        <f t="shared" si="9"/>
        <v>Infrastructure de réseau établie de fournisseurs initiaux.</v>
      </c>
      <c r="CZ15" s="43" t="str">
        <f t="shared" si="9"/>
        <v>Infrastructure de réseau établie de fournisseurs initiaux.</v>
      </c>
      <c r="DA15" s="43" t="str">
        <f t="shared" si="9"/>
        <v>Infrastructure de réseau établie de fournisseurs initiaux.</v>
      </c>
      <c r="DB15" s="43" t="s">
        <v>1004</v>
      </c>
      <c r="DC15" s="441"/>
    </row>
    <row r="16" spans="1:107" s="58" customFormat="1" ht="80.099999999999994" customHeight="1" thickTop="1" thickBot="1" x14ac:dyDescent="0.25">
      <c r="A16" s="271"/>
      <c r="B16" s="645"/>
      <c r="C16" s="648"/>
      <c r="D16" s="135" t="s">
        <v>38</v>
      </c>
      <c r="E16" s="57" t="s">
        <v>362</v>
      </c>
      <c r="F16" s="39" t="str">
        <f t="shared" si="10"/>
        <v>Number of businesses providing specialised aftersale services to end-users (for instance on repairs).</v>
      </c>
      <c r="G16" s="39" t="str">
        <f t="shared" si="0"/>
        <v>Number of businesses providing specialised aftersale services to end-users (for instance on repairs).</v>
      </c>
      <c r="H16" s="39" t="str">
        <f t="shared" si="0"/>
        <v>Number of businesses providing specialised aftersale services to end-users (for instance on repairs).</v>
      </c>
      <c r="I16" s="39" t="str">
        <f t="shared" si="0"/>
        <v>Number of businesses providing specialised aftersale services to end-users (for instance on repairs).</v>
      </c>
      <c r="J16" s="39" t="str">
        <f t="shared" si="0"/>
        <v>Number of businesses providing specialised aftersale services to end-users (for instance on repairs).</v>
      </c>
      <c r="K16" s="39" t="str">
        <f t="shared" si="0"/>
        <v>Number of businesses providing specialised aftersale services to end-users (for instance on repairs).</v>
      </c>
      <c r="L16" s="39" t="str">
        <f t="shared" si="0"/>
        <v>Number of businesses providing specialised aftersale services to end-users (for instance on repairs).</v>
      </c>
      <c r="M16" s="39" t="str">
        <f t="shared" si="0"/>
        <v>Number of businesses providing specialised aftersale services to end-users (for instance on repairs).</v>
      </c>
      <c r="N16" s="39" t="str">
        <f t="shared" si="0"/>
        <v>Number of businesses providing specialised aftersale services to end-users (for instance on repairs).</v>
      </c>
      <c r="O16" s="57" t="s">
        <v>1044</v>
      </c>
      <c r="P16" s="40" t="str">
        <f t="shared" si="17"/>
        <v xml:space="preserve">Services are not available yet </v>
      </c>
      <c r="Q16" s="40" t="str">
        <f t="shared" si="1"/>
        <v xml:space="preserve">Services are not available yet </v>
      </c>
      <c r="R16" s="40" t="str">
        <f t="shared" si="1"/>
        <v xml:space="preserve">Services are not available yet </v>
      </c>
      <c r="S16" s="40" t="str">
        <f t="shared" si="1"/>
        <v xml:space="preserve">Services are not available yet </v>
      </c>
      <c r="T16" s="40" t="str">
        <f t="shared" si="1"/>
        <v xml:space="preserve">Services are not available yet </v>
      </c>
      <c r="U16" s="40" t="str">
        <f t="shared" si="1"/>
        <v xml:space="preserve">Services are not available yet </v>
      </c>
      <c r="V16" s="40" t="str">
        <f t="shared" si="1"/>
        <v xml:space="preserve">Services are not available yet </v>
      </c>
      <c r="W16" s="40" t="str">
        <f t="shared" si="1"/>
        <v xml:space="preserve">Services are not available yet </v>
      </c>
      <c r="X16" s="40" t="str">
        <f t="shared" si="1"/>
        <v xml:space="preserve">Services are not available yet </v>
      </c>
      <c r="Y16" s="40" t="s">
        <v>693</v>
      </c>
      <c r="Z16" s="41" t="str">
        <f t="shared" si="18"/>
        <v>Services are partially available</v>
      </c>
      <c r="AA16" s="41" t="str">
        <f t="shared" si="2"/>
        <v>Services are partially available</v>
      </c>
      <c r="AB16" s="41" t="str">
        <f t="shared" si="2"/>
        <v>Services are partially available</v>
      </c>
      <c r="AC16" s="41" t="str">
        <f t="shared" si="2"/>
        <v>Services are partially available</v>
      </c>
      <c r="AD16" s="41" t="str">
        <f>$AI16</f>
        <v>Services are partially available</v>
      </c>
      <c r="AE16" s="41" t="str">
        <f t="shared" si="2"/>
        <v>Services are partially available</v>
      </c>
      <c r="AF16" s="41" t="str">
        <f t="shared" si="2"/>
        <v>Services are partially available</v>
      </c>
      <c r="AG16" s="41" t="str">
        <f t="shared" si="2"/>
        <v>Services are partially available</v>
      </c>
      <c r="AH16" s="41" t="str">
        <f t="shared" si="2"/>
        <v>Services are partially available</v>
      </c>
      <c r="AI16" s="41" t="s">
        <v>690</v>
      </c>
      <c r="AJ16" s="42" t="str">
        <f t="shared" si="11"/>
        <v>Service easily available</v>
      </c>
      <c r="AK16" s="42" t="str">
        <f t="shared" si="3"/>
        <v>Service easily available</v>
      </c>
      <c r="AL16" s="42" t="str">
        <f t="shared" si="3"/>
        <v>Service easily available</v>
      </c>
      <c r="AM16" s="42" t="str">
        <f t="shared" si="3"/>
        <v>Service easily available</v>
      </c>
      <c r="AN16" s="42" t="str">
        <f t="shared" si="3"/>
        <v>Service easily available</v>
      </c>
      <c r="AO16" s="42" t="str">
        <f t="shared" si="3"/>
        <v>Service easily available</v>
      </c>
      <c r="AP16" s="42" t="str">
        <f t="shared" si="3"/>
        <v>Service easily available</v>
      </c>
      <c r="AQ16" s="42" t="str">
        <f t="shared" si="3"/>
        <v>Service easily available</v>
      </c>
      <c r="AR16" s="42" t="str">
        <f t="shared" si="3"/>
        <v>Service easily available</v>
      </c>
      <c r="AS16" s="42" t="s">
        <v>691</v>
      </c>
      <c r="AT16" s="43" t="str">
        <f t="shared" si="12"/>
        <v>Widespread availability of services</v>
      </c>
      <c r="AU16" s="43" t="str">
        <f t="shared" si="4"/>
        <v>Widespread availability of services</v>
      </c>
      <c r="AV16" s="43" t="str">
        <f t="shared" si="4"/>
        <v>Widespread availability of services</v>
      </c>
      <c r="AW16" s="43" t="str">
        <f t="shared" si="4"/>
        <v>Widespread availability of services</v>
      </c>
      <c r="AX16" s="43" t="str">
        <f t="shared" si="4"/>
        <v>Widespread availability of services</v>
      </c>
      <c r="AY16" s="43" t="str">
        <f t="shared" si="4"/>
        <v>Widespread availability of services</v>
      </c>
      <c r="AZ16" s="43" t="str">
        <f t="shared" si="4"/>
        <v>Widespread availability of services</v>
      </c>
      <c r="BA16" s="43" t="str">
        <f t="shared" si="4"/>
        <v>Widespread availability of services</v>
      </c>
      <c r="BB16" s="43" t="str">
        <f t="shared" si="4"/>
        <v>Widespread availability of services</v>
      </c>
      <c r="BC16" s="43" t="s">
        <v>692</v>
      </c>
      <c r="BD16" s="271"/>
      <c r="BE16" s="39" t="str">
        <f t="shared" si="13"/>
        <v>Nombre d'entreprises fournissant des services après-vente spécialisés aux utilisateurs finaux (par exemple pour les réparations).</v>
      </c>
      <c r="BF16" s="39" t="str">
        <f t="shared" si="5"/>
        <v>Nombre d'entreprises fournissant des services après-vente spécialisés aux utilisateurs finaux (par exemple pour les réparations).</v>
      </c>
      <c r="BG16" s="39" t="str">
        <f t="shared" si="5"/>
        <v>Nombre d'entreprises fournissant des services après-vente spécialisés aux utilisateurs finaux (par exemple pour les réparations).</v>
      </c>
      <c r="BH16" s="39" t="str">
        <f t="shared" si="5"/>
        <v>Nombre d'entreprises fournissant des services après-vente spécialisés aux utilisateurs finaux (par exemple pour les réparations).</v>
      </c>
      <c r="BI16" s="39" t="str">
        <f t="shared" si="5"/>
        <v>Nombre d'entreprises fournissant des services après-vente spécialisés aux utilisateurs finaux (par exemple pour les réparations).</v>
      </c>
      <c r="BJ16" s="39" t="str">
        <f t="shared" si="5"/>
        <v>Nombre d'entreprises fournissant des services après-vente spécialisés aux utilisateurs finaux (par exemple pour les réparations).</v>
      </c>
      <c r="BK16" s="39" t="str">
        <f t="shared" si="5"/>
        <v>Nombre d'entreprises fournissant des services après-vente spécialisés aux utilisateurs finaux (par exemple pour les réparations).</v>
      </c>
      <c r="BL16" s="39" t="str">
        <f t="shared" si="5"/>
        <v>Nombre d'entreprises fournissant des services après-vente spécialisés aux utilisateurs finaux (par exemple pour les réparations).</v>
      </c>
      <c r="BM16" s="39" t="str">
        <f t="shared" si="5"/>
        <v>Nombre d'entreprises fournissant des services après-vente spécialisés aux utilisateurs finaux (par exemple pour les réparations).</v>
      </c>
      <c r="BN16" s="57" t="s">
        <v>799</v>
      </c>
      <c r="BO16" s="40" t="str">
        <f t="shared" si="14"/>
        <v>Les services ne sont pas encore disponibles.</v>
      </c>
      <c r="BP16" s="40" t="str">
        <f t="shared" si="6"/>
        <v>Les services ne sont pas encore disponibles.</v>
      </c>
      <c r="BQ16" s="40" t="str">
        <f t="shared" si="6"/>
        <v>Les services ne sont pas encore disponibles.</v>
      </c>
      <c r="BR16" s="40" t="str">
        <f t="shared" si="6"/>
        <v>Les services ne sont pas encore disponibles.</v>
      </c>
      <c r="BS16" s="40" t="str">
        <f t="shared" si="6"/>
        <v>Les services ne sont pas encore disponibles.</v>
      </c>
      <c r="BT16" s="40" t="str">
        <f t="shared" si="6"/>
        <v>Les services ne sont pas encore disponibles.</v>
      </c>
      <c r="BU16" s="40" t="str">
        <f t="shared" si="6"/>
        <v>Les services ne sont pas encore disponibles.</v>
      </c>
      <c r="BV16" s="40" t="str">
        <f t="shared" si="6"/>
        <v>Les services ne sont pas encore disponibles.</v>
      </c>
      <c r="BW16" s="40" t="str">
        <f t="shared" si="6"/>
        <v>Les services ne sont pas encore disponibles.</v>
      </c>
      <c r="BX16" s="40" t="s">
        <v>865</v>
      </c>
      <c r="BY16" s="41" t="str">
        <f t="shared" si="19"/>
        <v>Les services sont partiellement disponibles</v>
      </c>
      <c r="BZ16" s="41" t="str">
        <f t="shared" si="7"/>
        <v>Les services sont partiellement disponibles</v>
      </c>
      <c r="CA16" s="41" t="str">
        <f t="shared" si="7"/>
        <v>Les services sont partiellement disponibles</v>
      </c>
      <c r="CB16" s="41" t="str">
        <f t="shared" si="7"/>
        <v>Les services sont partiellement disponibles</v>
      </c>
      <c r="CC16" s="41" t="str">
        <f t="shared" si="7"/>
        <v>Les services sont partiellement disponibles</v>
      </c>
      <c r="CD16" s="41" t="str">
        <f t="shared" si="7"/>
        <v>Les services sont partiellement disponibles</v>
      </c>
      <c r="CE16" s="41" t="str">
        <f t="shared" si="7"/>
        <v>Les services sont partiellement disponibles</v>
      </c>
      <c r="CF16" s="41" t="str">
        <f t="shared" si="7"/>
        <v>Les services sont partiellement disponibles</v>
      </c>
      <c r="CG16" s="41" t="str">
        <f t="shared" si="7"/>
        <v>Les services sont partiellement disponibles</v>
      </c>
      <c r="CH16" s="41" t="s">
        <v>912</v>
      </c>
      <c r="CI16" s="42" t="str">
        <f t="shared" si="15"/>
        <v>Service facilement disponible</v>
      </c>
      <c r="CJ16" s="42" t="str">
        <f t="shared" si="8"/>
        <v>Service facilement disponible</v>
      </c>
      <c r="CK16" s="42" t="str">
        <f t="shared" si="8"/>
        <v>Service facilement disponible</v>
      </c>
      <c r="CL16" s="42" t="str">
        <f t="shared" si="8"/>
        <v>Service facilement disponible</v>
      </c>
      <c r="CM16" s="42" t="str">
        <f t="shared" si="8"/>
        <v>Service facilement disponible</v>
      </c>
      <c r="CN16" s="42" t="str">
        <f t="shared" si="8"/>
        <v>Service facilement disponible</v>
      </c>
      <c r="CO16" s="42" t="str">
        <f t="shared" si="8"/>
        <v>Service facilement disponible</v>
      </c>
      <c r="CP16" s="42" t="str">
        <f t="shared" si="8"/>
        <v>Service facilement disponible</v>
      </c>
      <c r="CQ16" s="42" t="str">
        <f t="shared" si="8"/>
        <v>Service facilement disponible</v>
      </c>
      <c r="CR16" s="42" t="s">
        <v>949</v>
      </c>
      <c r="CS16" s="43" t="str">
        <f t="shared" si="16"/>
        <v>Grande disponibilité des services.</v>
      </c>
      <c r="CT16" s="43" t="str">
        <f t="shared" si="9"/>
        <v>Grande disponibilité des services.</v>
      </c>
      <c r="CU16" s="43" t="str">
        <f t="shared" si="9"/>
        <v>Grande disponibilité des services.</v>
      </c>
      <c r="CV16" s="43" t="str">
        <f t="shared" si="9"/>
        <v>Grande disponibilité des services.</v>
      </c>
      <c r="CW16" s="43" t="str">
        <f t="shared" si="9"/>
        <v>Grande disponibilité des services.</v>
      </c>
      <c r="CX16" s="43" t="str">
        <f t="shared" si="9"/>
        <v>Grande disponibilité des services.</v>
      </c>
      <c r="CY16" s="43" t="str">
        <f t="shared" si="9"/>
        <v>Grande disponibilité des services.</v>
      </c>
      <c r="CZ16" s="43" t="str">
        <f t="shared" si="9"/>
        <v>Grande disponibilité des services.</v>
      </c>
      <c r="DA16" s="43" t="str">
        <f t="shared" si="9"/>
        <v>Grande disponibilité des services.</v>
      </c>
      <c r="DB16" s="43" t="s">
        <v>1005</v>
      </c>
      <c r="DC16" s="441"/>
    </row>
    <row r="17" spans="1:107" ht="80.099999999999994" customHeight="1" thickTop="1" thickBot="1" x14ac:dyDescent="0.25">
      <c r="A17" s="244"/>
      <c r="B17" s="645"/>
      <c r="C17" s="49" t="s">
        <v>146</v>
      </c>
      <c r="D17" s="49" t="s">
        <v>490</v>
      </c>
      <c r="E17" s="48" t="s">
        <v>76</v>
      </c>
      <c r="F17" s="39" t="str">
        <f t="shared" ref="F17:N27" si="20">$O17</f>
        <v>Share of suppliers that offer warranties to their customers and fulfill warranty claims.</v>
      </c>
      <c r="G17" s="39" t="str">
        <f t="shared" si="20"/>
        <v>Share of suppliers that offer warranties to their customers and fulfill warranty claims.</v>
      </c>
      <c r="H17" s="39" t="str">
        <f t="shared" si="20"/>
        <v>Share of suppliers that offer warranties to their customers and fulfill warranty claims.</v>
      </c>
      <c r="I17" s="39" t="str">
        <f t="shared" si="20"/>
        <v>Share of suppliers that offer warranties to their customers and fulfill warranty claims.</v>
      </c>
      <c r="J17" s="39" t="str">
        <f t="shared" si="20"/>
        <v>Share of suppliers that offer warranties to their customers and fulfill warranty claims.</v>
      </c>
      <c r="K17" s="39" t="str">
        <f t="shared" si="20"/>
        <v>Share of suppliers that offer warranties to their customers and fulfill warranty claims.</v>
      </c>
      <c r="L17" s="39" t="str">
        <f t="shared" si="20"/>
        <v>Share of suppliers that offer warranties to their customers and fulfill warranty claims.</v>
      </c>
      <c r="M17" s="39" t="str">
        <f t="shared" si="20"/>
        <v>Share of suppliers that offer warranties to their customers and fulfill warranty claims.</v>
      </c>
      <c r="N17" s="39" t="str">
        <f t="shared" si="20"/>
        <v>Share of suppliers that offer warranties to their customers and fulfill warranty claims.</v>
      </c>
      <c r="O17" s="48" t="s">
        <v>686</v>
      </c>
      <c r="P17" s="40" t="str">
        <f t="shared" ref="P17:X29" si="21">$Y17</f>
        <v>Warranties are not granted.</v>
      </c>
      <c r="Q17" s="40" t="str">
        <f t="shared" si="21"/>
        <v>Warranties are not granted.</v>
      </c>
      <c r="R17" s="40" t="str">
        <f t="shared" si="21"/>
        <v>Warranties are not granted.</v>
      </c>
      <c r="S17" s="40" t="str">
        <f t="shared" si="21"/>
        <v>Warranties are not granted.</v>
      </c>
      <c r="T17" s="40" t="str">
        <f t="shared" si="21"/>
        <v>Warranties are not granted.</v>
      </c>
      <c r="U17" s="40" t="str">
        <f t="shared" si="21"/>
        <v>Warranties are not granted.</v>
      </c>
      <c r="V17" s="40" t="str">
        <f t="shared" si="21"/>
        <v>Warranties are not granted.</v>
      </c>
      <c r="W17" s="40" t="str">
        <f t="shared" si="21"/>
        <v>Warranties are not granted.</v>
      </c>
      <c r="X17" s="40" t="str">
        <f t="shared" si="21"/>
        <v>Warranties are not granted.</v>
      </c>
      <c r="Y17" s="40" t="s">
        <v>493</v>
      </c>
      <c r="Z17" s="41" t="str">
        <f t="shared" ref="Z17:AH29" si="22">$AI17</f>
        <v>Warranties limited to “lower” risk products (e.g. high quality products or very robust products), only few businesses offer warranties.</v>
      </c>
      <c r="AA17" s="41" t="str">
        <f t="shared" si="22"/>
        <v>Warranties limited to “lower” risk products (e.g. high quality products or very robust products), only few businesses offer warranties.</v>
      </c>
      <c r="AB17" s="41" t="str">
        <f t="shared" si="22"/>
        <v>Warranties limited to “lower” risk products (e.g. high quality products or very robust products), only few businesses offer warranties.</v>
      </c>
      <c r="AC17" s="41" t="str">
        <f t="shared" si="22"/>
        <v>Warranties limited to “lower” risk products (e.g. high quality products or very robust products), only few businesses offer warranties.</v>
      </c>
      <c r="AD17" s="41" t="str">
        <f t="shared" si="22"/>
        <v>Warranties limited to “lower” risk products (e.g. high quality products or very robust products), only few businesses offer warranties.</v>
      </c>
      <c r="AE17" s="41" t="str">
        <f t="shared" si="22"/>
        <v>Warranties limited to “lower” risk products (e.g. high quality products or very robust products), only few businesses offer warranties.</v>
      </c>
      <c r="AF17" s="41" t="str">
        <f t="shared" si="22"/>
        <v>Warranties limited to “lower” risk products (e.g. high quality products or very robust products), only few businesses offer warranties.</v>
      </c>
      <c r="AG17" s="41" t="str">
        <f t="shared" si="22"/>
        <v>Warranties limited to “lower” risk products (e.g. high quality products or very robust products), only few businesses offer warranties.</v>
      </c>
      <c r="AH17" s="41" t="str">
        <f t="shared" si="22"/>
        <v>Warranties limited to “lower” risk products (e.g. high quality products or very robust products), only few businesses offer warranties.</v>
      </c>
      <c r="AI17" s="41" t="s">
        <v>494</v>
      </c>
      <c r="AJ17" s="42" t="str">
        <f t="shared" ref="AJ17:AR29" si="23">$AS17</f>
        <v>Warranties implemented to promote sales and brand loyalty, as well as to encourage consumer trust in the product/service.</v>
      </c>
      <c r="AK17" s="42" t="str">
        <f t="shared" si="23"/>
        <v>Warranties implemented to promote sales and brand loyalty, as well as to encourage consumer trust in the product/service.</v>
      </c>
      <c r="AL17" s="42" t="str">
        <f t="shared" si="23"/>
        <v>Warranties implemented to promote sales and brand loyalty, as well as to encourage consumer trust in the product/service.</v>
      </c>
      <c r="AM17" s="42" t="str">
        <f t="shared" si="23"/>
        <v>Warranties implemented to promote sales and brand loyalty, as well as to encourage consumer trust in the product/service.</v>
      </c>
      <c r="AN17" s="42" t="str">
        <f t="shared" si="23"/>
        <v>Warranties implemented to promote sales and brand loyalty, as well as to encourage consumer trust in the product/service.</v>
      </c>
      <c r="AO17" s="42" t="str">
        <f t="shared" si="23"/>
        <v>Warranties implemented to promote sales and brand loyalty, as well as to encourage consumer trust in the product/service.</v>
      </c>
      <c r="AP17" s="42" t="str">
        <f t="shared" si="23"/>
        <v>Warranties implemented to promote sales and brand loyalty, as well as to encourage consumer trust in the product/service.</v>
      </c>
      <c r="AQ17" s="42" t="str">
        <f t="shared" si="23"/>
        <v>Warranties implemented to promote sales and brand loyalty, as well as to encourage consumer trust in the product/service.</v>
      </c>
      <c r="AR17" s="42" t="str">
        <f t="shared" si="23"/>
        <v>Warranties implemented to promote sales and brand loyalty, as well as to encourage consumer trust in the product/service.</v>
      </c>
      <c r="AS17" s="42" t="s">
        <v>495</v>
      </c>
      <c r="AT17" s="43" t="str">
        <f t="shared" ref="AT17:BB29" si="24">$BC17</f>
        <v>Warranties are an integral offer of quality technology suppliers.</v>
      </c>
      <c r="AU17" s="43" t="str">
        <f t="shared" si="24"/>
        <v>Warranties are an integral offer of quality technology suppliers.</v>
      </c>
      <c r="AV17" s="43" t="str">
        <f t="shared" si="24"/>
        <v>Warranties are an integral offer of quality technology suppliers.</v>
      </c>
      <c r="AW17" s="43" t="str">
        <f t="shared" si="24"/>
        <v>Warranties are an integral offer of quality technology suppliers.</v>
      </c>
      <c r="AX17" s="43" t="str">
        <f t="shared" si="24"/>
        <v>Warranties are an integral offer of quality technology suppliers.</v>
      </c>
      <c r="AY17" s="43" t="str">
        <f t="shared" si="24"/>
        <v>Warranties are an integral offer of quality technology suppliers.</v>
      </c>
      <c r="AZ17" s="43" t="str">
        <f t="shared" si="24"/>
        <v>Warranties are an integral offer of quality technology suppliers.</v>
      </c>
      <c r="BA17" s="43" t="str">
        <f t="shared" si="24"/>
        <v>Warranties are an integral offer of quality technology suppliers.</v>
      </c>
      <c r="BB17" s="43" t="str">
        <f t="shared" si="24"/>
        <v>Warranties are an integral offer of quality technology suppliers.</v>
      </c>
      <c r="BC17" s="43" t="s">
        <v>496</v>
      </c>
      <c r="BD17" s="244"/>
      <c r="BE17" s="39" t="str">
        <f t="shared" ref="BE17:BM26" si="25">$BN17</f>
        <v>Part des fournisseurs qui offrent des garanties à leurs clients et satisfont les demandes de garantie.</v>
      </c>
      <c r="BF17" s="39" t="str">
        <f t="shared" si="25"/>
        <v>Part des fournisseurs qui offrent des garanties à leurs clients et satisfont les demandes de garantie.</v>
      </c>
      <c r="BG17" s="39" t="str">
        <f t="shared" si="25"/>
        <v>Part des fournisseurs qui offrent des garanties à leurs clients et satisfont les demandes de garantie.</v>
      </c>
      <c r="BH17" s="39" t="str">
        <f t="shared" si="25"/>
        <v>Part des fournisseurs qui offrent des garanties à leurs clients et satisfont les demandes de garantie.</v>
      </c>
      <c r="BI17" s="39" t="str">
        <f t="shared" si="25"/>
        <v>Part des fournisseurs qui offrent des garanties à leurs clients et satisfont les demandes de garantie.</v>
      </c>
      <c r="BJ17" s="39" t="str">
        <f t="shared" si="25"/>
        <v>Part des fournisseurs qui offrent des garanties à leurs clients et satisfont les demandes de garantie.</v>
      </c>
      <c r="BK17" s="39" t="str">
        <f t="shared" si="25"/>
        <v>Part des fournisseurs qui offrent des garanties à leurs clients et satisfont les demandes de garantie.</v>
      </c>
      <c r="BL17" s="39" t="str">
        <f t="shared" si="25"/>
        <v>Part des fournisseurs qui offrent des garanties à leurs clients et satisfont les demandes de garantie.</v>
      </c>
      <c r="BM17" s="39" t="str">
        <f t="shared" si="25"/>
        <v>Part des fournisseurs qui offrent des garanties à leurs clients et satisfont les demandes de garantie.</v>
      </c>
      <c r="BN17" s="48" t="s">
        <v>800</v>
      </c>
      <c r="BO17" s="40" t="str">
        <f t="shared" ref="BO17:BW26" si="26">$BX17</f>
        <v>Les garanties ne sont pas accordées.</v>
      </c>
      <c r="BP17" s="40" t="str">
        <f t="shared" si="26"/>
        <v>Les garanties ne sont pas accordées.</v>
      </c>
      <c r="BQ17" s="40" t="str">
        <f t="shared" si="26"/>
        <v>Les garanties ne sont pas accordées.</v>
      </c>
      <c r="BR17" s="40" t="str">
        <f t="shared" si="26"/>
        <v>Les garanties ne sont pas accordées.</v>
      </c>
      <c r="BS17" s="40" t="str">
        <f t="shared" si="26"/>
        <v>Les garanties ne sont pas accordées.</v>
      </c>
      <c r="BT17" s="40" t="str">
        <f t="shared" si="26"/>
        <v>Les garanties ne sont pas accordées.</v>
      </c>
      <c r="BU17" s="40" t="str">
        <f t="shared" si="26"/>
        <v>Les garanties ne sont pas accordées.</v>
      </c>
      <c r="BV17" s="40" t="str">
        <f t="shared" si="26"/>
        <v>Les garanties ne sont pas accordées.</v>
      </c>
      <c r="BW17" s="40" t="str">
        <f t="shared" si="26"/>
        <v>Les garanties ne sont pas accordées.</v>
      </c>
      <c r="BX17" s="40" t="s">
        <v>866</v>
      </c>
      <c r="BY17" s="41" t="str">
        <f t="shared" ref="BY17:CG26" si="27">$CH17</f>
        <v>Garanties limitées aux produits à "faible" risque (par exemple, les produits de haute qualité ou les produits très robustes), seules quelques entreprises offrent des garanties.</v>
      </c>
      <c r="BZ17" s="41" t="str">
        <f t="shared" si="27"/>
        <v>Garanties limitées aux produits à "faible" risque (par exemple, les produits de haute qualité ou les produits très robustes), seules quelques entreprises offrent des garanties.</v>
      </c>
      <c r="CA17" s="41" t="str">
        <f t="shared" si="27"/>
        <v>Garanties limitées aux produits à "faible" risque (par exemple, les produits de haute qualité ou les produits très robustes), seules quelques entreprises offrent des garanties.</v>
      </c>
      <c r="CB17" s="41" t="str">
        <f t="shared" si="27"/>
        <v>Garanties limitées aux produits à "faible" risque (par exemple, les produits de haute qualité ou les produits très robustes), seules quelques entreprises offrent des garanties.</v>
      </c>
      <c r="CC17" s="41" t="str">
        <f t="shared" si="27"/>
        <v>Garanties limitées aux produits à "faible" risque (par exemple, les produits de haute qualité ou les produits très robustes), seules quelques entreprises offrent des garanties.</v>
      </c>
      <c r="CD17" s="41" t="str">
        <f t="shared" si="27"/>
        <v>Garanties limitées aux produits à "faible" risque (par exemple, les produits de haute qualité ou les produits très robustes), seules quelques entreprises offrent des garanties.</v>
      </c>
      <c r="CE17" s="41" t="str">
        <f t="shared" si="27"/>
        <v>Garanties limitées aux produits à "faible" risque (par exemple, les produits de haute qualité ou les produits très robustes), seules quelques entreprises offrent des garanties.</v>
      </c>
      <c r="CF17" s="41" t="str">
        <f t="shared" si="27"/>
        <v>Garanties limitées aux produits à "faible" risque (par exemple, les produits de haute qualité ou les produits très robustes), seules quelques entreprises offrent des garanties.</v>
      </c>
      <c r="CG17" s="41" t="str">
        <f t="shared" si="27"/>
        <v>Garanties limitées aux produits à "faible" risque (par exemple, les produits de haute qualité ou les produits très robustes), seules quelques entreprises offrent des garanties.</v>
      </c>
      <c r="CH17" s="41" t="s">
        <v>913</v>
      </c>
      <c r="CI17" s="42" t="str">
        <f t="shared" ref="CI17:CQ26" si="28">$CR17</f>
        <v>Garanties mises en œuvre pour promouvoir les ventes et la fidélité à la marque, ainsi que pour encourager la confiance des consommateurs dans le produit/service.</v>
      </c>
      <c r="CJ17" s="42" t="str">
        <f t="shared" si="28"/>
        <v>Garanties mises en œuvre pour promouvoir les ventes et la fidélité à la marque, ainsi que pour encourager la confiance des consommateurs dans le produit/service.</v>
      </c>
      <c r="CK17" s="42" t="str">
        <f t="shared" si="28"/>
        <v>Garanties mises en œuvre pour promouvoir les ventes et la fidélité à la marque, ainsi que pour encourager la confiance des consommateurs dans le produit/service.</v>
      </c>
      <c r="CL17" s="42" t="str">
        <f t="shared" si="28"/>
        <v>Garanties mises en œuvre pour promouvoir les ventes et la fidélité à la marque, ainsi que pour encourager la confiance des consommateurs dans le produit/service.</v>
      </c>
      <c r="CM17" s="42" t="str">
        <f t="shared" si="28"/>
        <v>Garanties mises en œuvre pour promouvoir les ventes et la fidélité à la marque, ainsi que pour encourager la confiance des consommateurs dans le produit/service.</v>
      </c>
      <c r="CN17" s="42" t="str">
        <f t="shared" si="28"/>
        <v>Garanties mises en œuvre pour promouvoir les ventes et la fidélité à la marque, ainsi que pour encourager la confiance des consommateurs dans le produit/service.</v>
      </c>
      <c r="CO17" s="42" t="str">
        <f t="shared" si="28"/>
        <v>Garanties mises en œuvre pour promouvoir les ventes et la fidélité à la marque, ainsi que pour encourager la confiance des consommateurs dans le produit/service.</v>
      </c>
      <c r="CP17" s="42" t="str">
        <f t="shared" si="28"/>
        <v>Garanties mises en œuvre pour promouvoir les ventes et la fidélité à la marque, ainsi que pour encourager la confiance des consommateurs dans le produit/service.</v>
      </c>
      <c r="CQ17" s="42" t="str">
        <f t="shared" si="28"/>
        <v>Garanties mises en œuvre pour promouvoir les ventes et la fidélité à la marque, ainsi que pour encourager la confiance des consommateurs dans le produit/service.</v>
      </c>
      <c r="CR17" s="42" t="s">
        <v>950</v>
      </c>
      <c r="CS17" s="43" t="str">
        <f t="shared" ref="CS17:DA26" si="29">$DB17</f>
        <v>Les garanties sont un  element intégré de l'offre des fournisseurs de technologies de qualité.</v>
      </c>
      <c r="CT17" s="43" t="str">
        <f t="shared" si="29"/>
        <v>Les garanties sont un  element intégré de l'offre des fournisseurs de technologies de qualité.</v>
      </c>
      <c r="CU17" s="43" t="str">
        <f t="shared" si="29"/>
        <v>Les garanties sont un  element intégré de l'offre des fournisseurs de technologies de qualité.</v>
      </c>
      <c r="CV17" s="43" t="str">
        <f t="shared" si="29"/>
        <v>Les garanties sont un  element intégré de l'offre des fournisseurs de technologies de qualité.</v>
      </c>
      <c r="CW17" s="43" t="str">
        <f t="shared" si="29"/>
        <v>Les garanties sont un  element intégré de l'offre des fournisseurs de technologies de qualité.</v>
      </c>
      <c r="CX17" s="43" t="str">
        <f t="shared" si="29"/>
        <v>Les garanties sont un  element intégré de l'offre des fournisseurs de technologies de qualité.</v>
      </c>
      <c r="CY17" s="43" t="str">
        <f t="shared" si="29"/>
        <v>Les garanties sont un  element intégré de l'offre des fournisseurs de technologies de qualité.</v>
      </c>
      <c r="CZ17" s="43" t="str">
        <f t="shared" si="29"/>
        <v>Les garanties sont un  element intégré de l'offre des fournisseurs de technologies de qualité.</v>
      </c>
      <c r="DA17" s="43" t="str">
        <f t="shared" si="29"/>
        <v>Les garanties sont un  element intégré de l'offre des fournisseurs de technologies de qualité.</v>
      </c>
      <c r="DB17" s="43" t="s">
        <v>1006</v>
      </c>
      <c r="DC17" s="441"/>
    </row>
    <row r="18" spans="1:107" ht="80.099999999999994" customHeight="1" thickTop="1" thickBot="1" x14ac:dyDescent="0.25">
      <c r="A18" s="244"/>
      <c r="B18" s="645"/>
      <c r="C18" s="649" t="s">
        <v>788</v>
      </c>
      <c r="D18" s="136" t="s">
        <v>491</v>
      </c>
      <c r="E18" s="48" t="s">
        <v>367</v>
      </c>
      <c r="F18" s="39" t="str">
        <f t="shared" si="20"/>
        <v>Extent and quality of records keeping, business plans, and price setting.</v>
      </c>
      <c r="G18" s="39" t="str">
        <f t="shared" si="20"/>
        <v>Extent and quality of records keeping, business plans, and price setting.</v>
      </c>
      <c r="H18" s="39" t="str">
        <f t="shared" si="20"/>
        <v>Extent and quality of records keeping, business plans, and price setting.</v>
      </c>
      <c r="I18" s="39" t="str">
        <f t="shared" si="20"/>
        <v>Extent and quality of records keeping, business plans, and price setting.</v>
      </c>
      <c r="J18" s="39" t="str">
        <f t="shared" si="20"/>
        <v>Extent and quality of records keeping, business plans, and price setting.</v>
      </c>
      <c r="K18" s="39" t="str">
        <f t="shared" si="20"/>
        <v>Extent and quality of records keeping, business plans, and price setting.</v>
      </c>
      <c r="L18" s="39" t="str">
        <f t="shared" si="20"/>
        <v>Extent and quality of records keeping, business plans, and price setting.</v>
      </c>
      <c r="M18" s="39" t="str">
        <f t="shared" si="20"/>
        <v>Extent and quality of records keeping, business plans, and price setting.</v>
      </c>
      <c r="N18" s="39" t="str">
        <f t="shared" si="20"/>
        <v>Extent and quality of records keeping, business plans, and price setting.</v>
      </c>
      <c r="O18" s="48" t="s">
        <v>1043</v>
      </c>
      <c r="P18" s="40" t="str">
        <f t="shared" si="21"/>
        <v xml:space="preserve">Business skills are low (e.g. wrong price setting, insufficient record keeping, no business plans). </v>
      </c>
      <c r="Q18" s="40" t="str">
        <f t="shared" si="21"/>
        <v xml:space="preserve">Business skills are low (e.g. wrong price setting, insufficient record keeping, no business plans). </v>
      </c>
      <c r="R18" s="40" t="str">
        <f t="shared" si="21"/>
        <v xml:space="preserve">Business skills are low (e.g. wrong price setting, insufficient record keeping, no business plans). </v>
      </c>
      <c r="S18" s="40" t="str">
        <f t="shared" si="21"/>
        <v xml:space="preserve">Business skills are low (e.g. wrong price setting, insufficient record keeping, no business plans). </v>
      </c>
      <c r="T18" s="40" t="str">
        <f t="shared" si="21"/>
        <v xml:space="preserve">Business skills are low (e.g. wrong price setting, insufficient record keeping, no business plans). </v>
      </c>
      <c r="U18" s="40" t="str">
        <f t="shared" si="21"/>
        <v xml:space="preserve">Business skills are low (e.g. wrong price setting, insufficient record keeping, no business plans). </v>
      </c>
      <c r="V18" s="40" t="str">
        <f t="shared" si="21"/>
        <v xml:space="preserve">Business skills are low (e.g. wrong price setting, insufficient record keeping, no business plans). </v>
      </c>
      <c r="W18" s="40" t="str">
        <f t="shared" si="21"/>
        <v xml:space="preserve">Business skills are low (e.g. wrong price setting, insufficient record keeping, no business plans). </v>
      </c>
      <c r="X18" s="40" t="str">
        <f t="shared" si="21"/>
        <v xml:space="preserve">Business skills are low (e.g. wrong price setting, insufficient record keeping, no business plans). </v>
      </c>
      <c r="Y18" s="40" t="s">
        <v>497</v>
      </c>
      <c r="Z18" s="41" t="str">
        <f t="shared" si="22"/>
        <v>Some business skills develop.</v>
      </c>
      <c r="AA18" s="41" t="str">
        <f t="shared" si="22"/>
        <v>Some business skills develop.</v>
      </c>
      <c r="AB18" s="41" t="str">
        <f t="shared" si="22"/>
        <v>Some business skills develop.</v>
      </c>
      <c r="AC18" s="41" t="str">
        <f t="shared" si="22"/>
        <v>Some business skills develop.</v>
      </c>
      <c r="AD18" s="41" t="str">
        <f t="shared" si="22"/>
        <v>Some business skills develop.</v>
      </c>
      <c r="AE18" s="41" t="str">
        <f t="shared" si="22"/>
        <v>Some business skills develop.</v>
      </c>
      <c r="AF18" s="41" t="str">
        <f t="shared" si="22"/>
        <v>Some business skills develop.</v>
      </c>
      <c r="AG18" s="41" t="str">
        <f t="shared" si="22"/>
        <v>Some business skills develop.</v>
      </c>
      <c r="AH18" s="41" t="str">
        <f t="shared" si="22"/>
        <v>Some business skills develop.</v>
      </c>
      <c r="AI18" s="41" t="s">
        <v>498</v>
      </c>
      <c r="AJ18" s="42" t="str">
        <f t="shared" si="23"/>
        <v>Business skills are improved.</v>
      </c>
      <c r="AK18" s="42" t="str">
        <f t="shared" si="23"/>
        <v>Business skills are improved.</v>
      </c>
      <c r="AL18" s="42" t="str">
        <f t="shared" si="23"/>
        <v>Business skills are improved.</v>
      </c>
      <c r="AM18" s="42" t="str">
        <f t="shared" si="23"/>
        <v>Business skills are improved.</v>
      </c>
      <c r="AN18" s="42" t="str">
        <f t="shared" si="23"/>
        <v>Business skills are improved.</v>
      </c>
      <c r="AO18" s="42" t="str">
        <f t="shared" si="23"/>
        <v>Business skills are improved.</v>
      </c>
      <c r="AP18" s="42" t="str">
        <f t="shared" si="23"/>
        <v>Business skills are improved.</v>
      </c>
      <c r="AQ18" s="42" t="str">
        <f t="shared" si="23"/>
        <v>Business skills are improved.</v>
      </c>
      <c r="AR18" s="42" t="str">
        <f t="shared" si="23"/>
        <v>Business skills are improved.</v>
      </c>
      <c r="AS18" s="42" t="s">
        <v>499</v>
      </c>
      <c r="AT18" s="43" t="str">
        <f t="shared" si="24"/>
        <v>Good business skills</v>
      </c>
      <c r="AU18" s="43" t="str">
        <f t="shared" si="24"/>
        <v>Good business skills</v>
      </c>
      <c r="AV18" s="43" t="str">
        <f t="shared" si="24"/>
        <v>Good business skills</v>
      </c>
      <c r="AW18" s="43" t="str">
        <f t="shared" si="24"/>
        <v>Good business skills</v>
      </c>
      <c r="AX18" s="43" t="str">
        <f t="shared" si="24"/>
        <v>Good business skills</v>
      </c>
      <c r="AY18" s="43" t="str">
        <f t="shared" si="24"/>
        <v>Good business skills</v>
      </c>
      <c r="AZ18" s="43" t="str">
        <f t="shared" si="24"/>
        <v>Good business skills</v>
      </c>
      <c r="BA18" s="43" t="str">
        <f t="shared" si="24"/>
        <v>Good business skills</v>
      </c>
      <c r="BB18" s="43" t="str">
        <f t="shared" si="24"/>
        <v>Good business skills</v>
      </c>
      <c r="BC18" s="43" t="s">
        <v>500</v>
      </c>
      <c r="BD18" s="244"/>
      <c r="BE18" s="39" t="str">
        <f t="shared" si="25"/>
        <v>Ampleur et qualité de la tenue des registres, des plans d'entreprise et de la détermination des prix.</v>
      </c>
      <c r="BF18" s="39" t="str">
        <f t="shared" si="25"/>
        <v>Ampleur et qualité de la tenue des registres, des plans d'entreprise et de la détermination des prix.</v>
      </c>
      <c r="BG18" s="39" t="str">
        <f t="shared" si="25"/>
        <v>Ampleur et qualité de la tenue des registres, des plans d'entreprise et de la détermination des prix.</v>
      </c>
      <c r="BH18" s="39" t="str">
        <f t="shared" si="25"/>
        <v>Ampleur et qualité de la tenue des registres, des plans d'entreprise et de la détermination des prix.</v>
      </c>
      <c r="BI18" s="39" t="str">
        <f t="shared" si="25"/>
        <v>Ampleur et qualité de la tenue des registres, des plans d'entreprise et de la détermination des prix.</v>
      </c>
      <c r="BJ18" s="39" t="str">
        <f t="shared" si="25"/>
        <v>Ampleur et qualité de la tenue des registres, des plans d'entreprise et de la détermination des prix.</v>
      </c>
      <c r="BK18" s="39" t="str">
        <f t="shared" si="25"/>
        <v>Ampleur et qualité de la tenue des registres, des plans d'entreprise et de la détermination des prix.</v>
      </c>
      <c r="BL18" s="39" t="str">
        <f t="shared" si="25"/>
        <v>Ampleur et qualité de la tenue des registres, des plans d'entreprise et de la détermination des prix.</v>
      </c>
      <c r="BM18" s="39" t="str">
        <f t="shared" si="25"/>
        <v>Ampleur et qualité de la tenue des registres, des plans d'entreprise et de la détermination des prix.</v>
      </c>
      <c r="BN18" s="48" t="s">
        <v>812</v>
      </c>
      <c r="BO18" s="40" t="str">
        <f t="shared" si="26"/>
        <v xml:space="preserve">Les compétences commerciales sont faibles (par exemple, mauvaise fixation des prix, tenue insuffisante des registres, absence de plans d'entreprise). </v>
      </c>
      <c r="BP18" s="40" t="str">
        <f t="shared" si="26"/>
        <v xml:space="preserve">Les compétences commerciales sont faibles (par exemple, mauvaise fixation des prix, tenue insuffisante des registres, absence de plans d'entreprise). </v>
      </c>
      <c r="BQ18" s="40" t="str">
        <f t="shared" si="26"/>
        <v xml:space="preserve">Les compétences commerciales sont faibles (par exemple, mauvaise fixation des prix, tenue insuffisante des registres, absence de plans d'entreprise). </v>
      </c>
      <c r="BR18" s="40" t="str">
        <f t="shared" si="26"/>
        <v xml:space="preserve">Les compétences commerciales sont faibles (par exemple, mauvaise fixation des prix, tenue insuffisante des registres, absence de plans d'entreprise). </v>
      </c>
      <c r="BS18" s="40" t="str">
        <f t="shared" si="26"/>
        <v xml:space="preserve">Les compétences commerciales sont faibles (par exemple, mauvaise fixation des prix, tenue insuffisante des registres, absence de plans d'entreprise). </v>
      </c>
      <c r="BT18" s="40" t="str">
        <f t="shared" si="26"/>
        <v xml:space="preserve">Les compétences commerciales sont faibles (par exemple, mauvaise fixation des prix, tenue insuffisante des registres, absence de plans d'entreprise). </v>
      </c>
      <c r="BU18" s="40" t="str">
        <f t="shared" si="26"/>
        <v xml:space="preserve">Les compétences commerciales sont faibles (par exemple, mauvaise fixation des prix, tenue insuffisante des registres, absence de plans d'entreprise). </v>
      </c>
      <c r="BV18" s="40" t="str">
        <f t="shared" si="26"/>
        <v xml:space="preserve">Les compétences commerciales sont faibles (par exemple, mauvaise fixation des prix, tenue insuffisante des registres, absence de plans d'entreprise). </v>
      </c>
      <c r="BW18" s="40" t="str">
        <f t="shared" si="26"/>
        <v xml:space="preserve">Les compétences commerciales sont faibles (par exemple, mauvaise fixation des prix, tenue insuffisante des registres, absence de plans d'entreprise). </v>
      </c>
      <c r="BX18" s="40" t="s">
        <v>867</v>
      </c>
      <c r="BY18" s="41" t="str">
        <f t="shared" si="27"/>
        <v>Certaines compétences commerciales se développent.</v>
      </c>
      <c r="BZ18" s="41" t="str">
        <f t="shared" si="27"/>
        <v>Certaines compétences commerciales se développent.</v>
      </c>
      <c r="CA18" s="41" t="str">
        <f t="shared" si="27"/>
        <v>Certaines compétences commerciales se développent.</v>
      </c>
      <c r="CB18" s="41" t="str">
        <f t="shared" si="27"/>
        <v>Certaines compétences commerciales se développent.</v>
      </c>
      <c r="CC18" s="41" t="str">
        <f t="shared" si="27"/>
        <v>Certaines compétences commerciales se développent.</v>
      </c>
      <c r="CD18" s="41" t="str">
        <f t="shared" si="27"/>
        <v>Certaines compétences commerciales se développent.</v>
      </c>
      <c r="CE18" s="41" t="str">
        <f t="shared" si="27"/>
        <v>Certaines compétences commerciales se développent.</v>
      </c>
      <c r="CF18" s="41" t="str">
        <f t="shared" si="27"/>
        <v>Certaines compétences commerciales se développent.</v>
      </c>
      <c r="CG18" s="41" t="str">
        <f t="shared" si="27"/>
        <v>Certaines compétences commerciales se développent.</v>
      </c>
      <c r="CH18" s="41" t="s">
        <v>914</v>
      </c>
      <c r="CI18" s="42" t="str">
        <f t="shared" si="28"/>
        <v>Amélioration des compétences commerciales.</v>
      </c>
      <c r="CJ18" s="42" t="str">
        <f t="shared" si="28"/>
        <v>Amélioration des compétences commerciales.</v>
      </c>
      <c r="CK18" s="42" t="str">
        <f t="shared" si="28"/>
        <v>Amélioration des compétences commerciales.</v>
      </c>
      <c r="CL18" s="42" t="str">
        <f t="shared" si="28"/>
        <v>Amélioration des compétences commerciales.</v>
      </c>
      <c r="CM18" s="42" t="str">
        <f t="shared" si="28"/>
        <v>Amélioration des compétences commerciales.</v>
      </c>
      <c r="CN18" s="42" t="str">
        <f t="shared" si="28"/>
        <v>Amélioration des compétences commerciales.</v>
      </c>
      <c r="CO18" s="42" t="str">
        <f t="shared" si="28"/>
        <v>Amélioration des compétences commerciales.</v>
      </c>
      <c r="CP18" s="42" t="str">
        <f t="shared" si="28"/>
        <v>Amélioration des compétences commerciales.</v>
      </c>
      <c r="CQ18" s="42" t="str">
        <f t="shared" si="28"/>
        <v>Amélioration des compétences commerciales.</v>
      </c>
      <c r="CR18" s="42" t="s">
        <v>951</v>
      </c>
      <c r="CS18" s="43" t="str">
        <f t="shared" si="29"/>
        <v>Bonnes compétences commerciales</v>
      </c>
      <c r="CT18" s="43" t="str">
        <f t="shared" si="29"/>
        <v>Bonnes compétences commerciales</v>
      </c>
      <c r="CU18" s="43" t="str">
        <f t="shared" si="29"/>
        <v>Bonnes compétences commerciales</v>
      </c>
      <c r="CV18" s="43" t="str">
        <f t="shared" si="29"/>
        <v>Bonnes compétences commerciales</v>
      </c>
      <c r="CW18" s="43" t="str">
        <f t="shared" si="29"/>
        <v>Bonnes compétences commerciales</v>
      </c>
      <c r="CX18" s="43" t="str">
        <f t="shared" si="29"/>
        <v>Bonnes compétences commerciales</v>
      </c>
      <c r="CY18" s="43" t="str">
        <f t="shared" si="29"/>
        <v>Bonnes compétences commerciales</v>
      </c>
      <c r="CZ18" s="43" t="str">
        <f t="shared" si="29"/>
        <v>Bonnes compétences commerciales</v>
      </c>
      <c r="DA18" s="43" t="str">
        <f t="shared" si="29"/>
        <v>Bonnes compétences commerciales</v>
      </c>
      <c r="DB18" s="43" t="s">
        <v>980</v>
      </c>
      <c r="DC18" s="441"/>
    </row>
    <row r="19" spans="1:107" ht="80.099999999999994" customHeight="1" thickTop="1" thickBot="1" x14ac:dyDescent="0.25">
      <c r="A19" s="244"/>
      <c r="B19" s="645"/>
      <c r="C19" s="649"/>
      <c r="D19" s="136" t="s">
        <v>492</v>
      </c>
      <c r="E19" s="39" t="s">
        <v>150</v>
      </c>
      <c r="F19" s="39" t="str">
        <f t="shared" si="20"/>
        <v>Extent and type of marketing, and level of professionalism in marketing activities.</v>
      </c>
      <c r="G19" s="39" t="str">
        <f t="shared" si="20"/>
        <v>Extent and type of marketing, and level of professionalism in marketing activities.</v>
      </c>
      <c r="H19" s="39" t="str">
        <f t="shared" si="20"/>
        <v>Extent and type of marketing, and level of professionalism in marketing activities.</v>
      </c>
      <c r="I19" s="39" t="str">
        <f t="shared" si="20"/>
        <v>Extent and type of marketing, and level of professionalism in marketing activities.</v>
      </c>
      <c r="J19" s="39" t="str">
        <f>$O19</f>
        <v>Extent and type of marketing, and level of professionalism in marketing activities.</v>
      </c>
      <c r="K19" s="39" t="str">
        <f t="shared" si="20"/>
        <v>Extent and type of marketing, and level of professionalism in marketing activities.</v>
      </c>
      <c r="L19" s="39" t="str">
        <f t="shared" si="20"/>
        <v>Extent and type of marketing, and level of professionalism in marketing activities.</v>
      </c>
      <c r="M19" s="39" t="str">
        <f t="shared" si="20"/>
        <v>Extent and type of marketing, and level of professionalism in marketing activities.</v>
      </c>
      <c r="N19" s="39" t="str">
        <f t="shared" si="20"/>
        <v>Extent and type of marketing, and level of professionalism in marketing activities.</v>
      </c>
      <c r="O19" s="39" t="s">
        <v>731</v>
      </c>
      <c r="P19" s="40" t="str">
        <f t="shared" si="21"/>
        <v xml:space="preserve">Advertising is mostly based on word-of-mouth. Donors and government agencies do limited marketing. Businesses do not run marketing activities. </v>
      </c>
      <c r="Q19" s="40" t="str">
        <f t="shared" si="21"/>
        <v xml:space="preserve">Advertising is mostly based on word-of-mouth. Donors and government agencies do limited marketing. Businesses do not run marketing activities. </v>
      </c>
      <c r="R19" s="40" t="str">
        <f t="shared" si="21"/>
        <v xml:space="preserve">Advertising is mostly based on word-of-mouth. Donors and government agencies do limited marketing. Businesses do not run marketing activities. </v>
      </c>
      <c r="S19" s="40" t="str">
        <f t="shared" si="21"/>
        <v xml:space="preserve">Advertising is mostly based on word-of-mouth. Donors and government agencies do limited marketing. Businesses do not run marketing activities. </v>
      </c>
      <c r="T19" s="40" t="str">
        <f>$Y19</f>
        <v xml:space="preserve">Advertising is mostly based on word-of-mouth. Donors and government agencies do limited marketing. Businesses do not run marketing activities. </v>
      </c>
      <c r="U19" s="40" t="str">
        <f t="shared" si="21"/>
        <v xml:space="preserve">Advertising is mostly based on word-of-mouth. Donors and government agencies do limited marketing. Businesses do not run marketing activities. </v>
      </c>
      <c r="V19" s="40" t="str">
        <f t="shared" si="21"/>
        <v xml:space="preserve">Advertising is mostly based on word-of-mouth. Donors and government agencies do limited marketing. Businesses do not run marketing activities. </v>
      </c>
      <c r="W19" s="40" t="str">
        <f t="shared" si="21"/>
        <v xml:space="preserve">Advertising is mostly based on word-of-mouth. Donors and government agencies do limited marketing. Businesses do not run marketing activities. </v>
      </c>
      <c r="X19" s="40" t="str">
        <f t="shared" si="21"/>
        <v xml:space="preserve">Advertising is mostly based on word-of-mouth. Donors and government agencies do limited marketing. Businesses do not run marketing activities. </v>
      </c>
      <c r="Y19" s="40" t="s">
        <v>687</v>
      </c>
      <c r="Z19" s="41" t="str">
        <f t="shared" si="22"/>
        <v>Advertising is done by donors and to a limited extent by businesses (e.g. sign in front of the shop). Businesses have little knowledge to run marketing activities.</v>
      </c>
      <c r="AA19" s="41" t="str">
        <f t="shared" si="22"/>
        <v>Advertising is done by donors and to a limited extent by businesses (e.g. sign in front of the shop). Businesses have little knowledge to run marketing activities.</v>
      </c>
      <c r="AB19" s="41" t="str">
        <f t="shared" si="22"/>
        <v>Advertising is done by donors and to a limited extent by businesses (e.g. sign in front of the shop). Businesses have little knowledge to run marketing activities.</v>
      </c>
      <c r="AC19" s="41" t="str">
        <f t="shared" si="22"/>
        <v>Advertising is done by donors and to a limited extent by businesses (e.g. sign in front of the shop). Businesses have little knowledge to run marketing activities.</v>
      </c>
      <c r="AD19" s="41" t="str">
        <f t="shared" si="22"/>
        <v>Advertising is done by donors and to a limited extent by businesses (e.g. sign in front of the shop). Businesses have little knowledge to run marketing activities.</v>
      </c>
      <c r="AE19" s="41" t="str">
        <f t="shared" si="22"/>
        <v>Advertising is done by donors and to a limited extent by businesses (e.g. sign in front of the shop). Businesses have little knowledge to run marketing activities.</v>
      </c>
      <c r="AF19" s="41" t="str">
        <f t="shared" si="22"/>
        <v>Advertising is done by donors and to a limited extent by businesses (e.g. sign in front of the shop). Businesses have little knowledge to run marketing activities.</v>
      </c>
      <c r="AG19" s="41" t="str">
        <f t="shared" si="22"/>
        <v>Advertising is done by donors and to a limited extent by businesses (e.g. sign in front of the shop). Businesses have little knowledge to run marketing activities.</v>
      </c>
      <c r="AH19" s="41" t="str">
        <f t="shared" si="22"/>
        <v>Advertising is done by donors and to a limited extent by businesses (e.g. sign in front of the shop). Businesses have little knowledge to run marketing activities.</v>
      </c>
      <c r="AI19" s="41" t="s">
        <v>501</v>
      </c>
      <c r="AJ19" s="42" t="str">
        <f t="shared" si="23"/>
        <v>Businesses advertise in diversified manner (e.g. showrooms, radio, bike ads). Businesses understand the potential of marketing.</v>
      </c>
      <c r="AK19" s="42" t="str">
        <f t="shared" si="23"/>
        <v>Businesses advertise in diversified manner (e.g. showrooms, radio, bike ads). Businesses understand the potential of marketing.</v>
      </c>
      <c r="AL19" s="42" t="str">
        <f t="shared" si="23"/>
        <v>Businesses advertise in diversified manner (e.g. showrooms, radio, bike ads). Businesses understand the potential of marketing.</v>
      </c>
      <c r="AM19" s="42" t="str">
        <f t="shared" si="23"/>
        <v>Businesses advertise in diversified manner (e.g. showrooms, radio, bike ads). Businesses understand the potential of marketing.</v>
      </c>
      <c r="AN19" s="42" t="str">
        <f t="shared" si="23"/>
        <v>Businesses advertise in diversified manner (e.g. showrooms, radio, bike ads). Businesses understand the potential of marketing.</v>
      </c>
      <c r="AO19" s="42" t="str">
        <f t="shared" si="23"/>
        <v>Businesses advertise in diversified manner (e.g. showrooms, radio, bike ads). Businesses understand the potential of marketing.</v>
      </c>
      <c r="AP19" s="42" t="str">
        <f t="shared" si="23"/>
        <v>Businesses advertise in diversified manner (e.g. showrooms, radio, bike ads). Businesses understand the potential of marketing.</v>
      </c>
      <c r="AQ19" s="42" t="str">
        <f t="shared" si="23"/>
        <v>Businesses advertise in diversified manner (e.g. showrooms, radio, bike ads). Businesses understand the potential of marketing.</v>
      </c>
      <c r="AR19" s="42" t="str">
        <f t="shared" si="23"/>
        <v>Businesses advertise in diversified manner (e.g. showrooms, radio, bike ads). Businesses understand the potential of marketing.</v>
      </c>
      <c r="AS19" s="42" t="s">
        <v>502</v>
      </c>
      <c r="AT19" s="43" t="str">
        <f t="shared" si="24"/>
        <v>Advertising directed towards special groups. Businesses  exploit marketing potential and  effectiveness is measured.</v>
      </c>
      <c r="AU19" s="43" t="str">
        <f t="shared" si="24"/>
        <v>Advertising directed towards special groups. Businesses  exploit marketing potential and  effectiveness is measured.</v>
      </c>
      <c r="AV19" s="43" t="str">
        <f t="shared" si="24"/>
        <v>Advertising directed towards special groups. Businesses  exploit marketing potential and  effectiveness is measured.</v>
      </c>
      <c r="AW19" s="43" t="str">
        <f t="shared" si="24"/>
        <v>Advertising directed towards special groups. Businesses  exploit marketing potential and  effectiveness is measured.</v>
      </c>
      <c r="AX19" s="43" t="str">
        <f t="shared" si="24"/>
        <v>Advertising directed towards special groups. Businesses  exploit marketing potential and  effectiveness is measured.</v>
      </c>
      <c r="AY19" s="43" t="str">
        <f t="shared" si="24"/>
        <v>Advertising directed towards special groups. Businesses  exploit marketing potential and  effectiveness is measured.</v>
      </c>
      <c r="AZ19" s="43" t="str">
        <f t="shared" si="24"/>
        <v>Advertising directed towards special groups. Businesses  exploit marketing potential and  effectiveness is measured.</v>
      </c>
      <c r="BA19" s="43" t="str">
        <f t="shared" si="24"/>
        <v>Advertising directed towards special groups. Businesses  exploit marketing potential and  effectiveness is measured.</v>
      </c>
      <c r="BB19" s="43" t="str">
        <f t="shared" si="24"/>
        <v>Advertising directed towards special groups. Businesses  exploit marketing potential and  effectiveness is measured.</v>
      </c>
      <c r="BC19" s="43" t="s">
        <v>503</v>
      </c>
      <c r="BD19" s="244"/>
      <c r="BE19" s="39" t="str">
        <f t="shared" si="25"/>
        <v>Ampleur et type de marketing, et niveau de professionnalisme dans les activités de marketing.</v>
      </c>
      <c r="BF19" s="39" t="str">
        <f t="shared" si="25"/>
        <v>Ampleur et type de marketing, et niveau de professionnalisme dans les activités de marketing.</v>
      </c>
      <c r="BG19" s="39" t="str">
        <f t="shared" si="25"/>
        <v>Ampleur et type de marketing, et niveau de professionnalisme dans les activités de marketing.</v>
      </c>
      <c r="BH19" s="39" t="str">
        <f t="shared" si="25"/>
        <v>Ampleur et type de marketing, et niveau de professionnalisme dans les activités de marketing.</v>
      </c>
      <c r="BI19" s="39" t="str">
        <f t="shared" si="25"/>
        <v>Ampleur et type de marketing, et niveau de professionnalisme dans les activités de marketing.</v>
      </c>
      <c r="BJ19" s="39" t="str">
        <f t="shared" si="25"/>
        <v>Ampleur et type de marketing, et niveau de professionnalisme dans les activités de marketing.</v>
      </c>
      <c r="BK19" s="39" t="str">
        <f t="shared" si="25"/>
        <v>Ampleur et type de marketing, et niveau de professionnalisme dans les activités de marketing.</v>
      </c>
      <c r="BL19" s="39" t="str">
        <f t="shared" si="25"/>
        <v>Ampleur et type de marketing, et niveau de professionnalisme dans les activités de marketing.</v>
      </c>
      <c r="BM19" s="39" t="str">
        <f t="shared" si="25"/>
        <v>Ampleur et type de marketing, et niveau de professionnalisme dans les activités de marketing.</v>
      </c>
      <c r="BN19" s="39" t="s">
        <v>811</v>
      </c>
      <c r="BO19" s="40" t="str">
        <f t="shared" si="26"/>
        <v xml:space="preserve">Le marketing repose sur le bouche-à-oreille. Les bailleurs de fonds et les agences gouvernementales font un peu de marketing. Les entreprises ne mènent pas d'activités de marketing. </v>
      </c>
      <c r="BP19" s="40" t="str">
        <f t="shared" si="26"/>
        <v xml:space="preserve">Le marketing repose sur le bouche-à-oreille. Les bailleurs de fonds et les agences gouvernementales font un peu de marketing. Les entreprises ne mènent pas d'activités de marketing. </v>
      </c>
      <c r="BQ19" s="40" t="str">
        <f t="shared" si="26"/>
        <v xml:space="preserve">Le marketing repose sur le bouche-à-oreille. Les bailleurs de fonds et les agences gouvernementales font un peu de marketing. Les entreprises ne mènent pas d'activités de marketing. </v>
      </c>
      <c r="BR19" s="40" t="str">
        <f t="shared" si="26"/>
        <v xml:space="preserve">Le marketing repose sur le bouche-à-oreille. Les bailleurs de fonds et les agences gouvernementales font un peu de marketing. Les entreprises ne mènent pas d'activités de marketing. </v>
      </c>
      <c r="BS19" s="40" t="str">
        <f t="shared" si="26"/>
        <v xml:space="preserve">Le marketing repose sur le bouche-à-oreille. Les bailleurs de fonds et les agences gouvernementales font un peu de marketing. Les entreprises ne mènent pas d'activités de marketing. </v>
      </c>
      <c r="BT19" s="40" t="str">
        <f t="shared" si="26"/>
        <v xml:space="preserve">Le marketing repose sur le bouche-à-oreille. Les bailleurs de fonds et les agences gouvernementales font un peu de marketing. Les entreprises ne mènent pas d'activités de marketing. </v>
      </c>
      <c r="BU19" s="40" t="str">
        <f t="shared" si="26"/>
        <v xml:space="preserve">Le marketing repose sur le bouche-à-oreille. Les bailleurs de fonds et les agences gouvernementales font un peu de marketing. Les entreprises ne mènent pas d'activités de marketing. </v>
      </c>
      <c r="BV19" s="40" t="str">
        <f t="shared" si="26"/>
        <v xml:space="preserve">Le marketing repose sur le bouche-à-oreille. Les bailleurs de fonds et les agences gouvernementales font un peu de marketing. Les entreprises ne mènent pas d'activités de marketing. </v>
      </c>
      <c r="BW19" s="40" t="str">
        <f t="shared" si="26"/>
        <v xml:space="preserve">Le marketing repose sur le bouche-à-oreille. Les bailleurs de fonds et les agences gouvernementales font un peu de marketing. Les entreprises ne mènent pas d'activités de marketing. </v>
      </c>
      <c r="BX19" s="40" t="s">
        <v>896</v>
      </c>
      <c r="BY19" s="41" t="str">
        <f t="shared" si="27"/>
        <v>Le marketing est assuré par les bailleurs et, dans une certaine mesure, par les entreprises (par exemple, un panneau devant le magasin). Les entreprises ont peu de connaissances pour mener des activités de marketing.</v>
      </c>
      <c r="BZ19" s="41" t="str">
        <f t="shared" si="27"/>
        <v>Le marketing est assuré par les bailleurs et, dans une certaine mesure, par les entreprises (par exemple, un panneau devant le magasin). Les entreprises ont peu de connaissances pour mener des activités de marketing.</v>
      </c>
      <c r="CA19" s="41" t="str">
        <f t="shared" si="27"/>
        <v>Le marketing est assuré par les bailleurs et, dans une certaine mesure, par les entreprises (par exemple, un panneau devant le magasin). Les entreprises ont peu de connaissances pour mener des activités de marketing.</v>
      </c>
      <c r="CB19" s="41" t="str">
        <f t="shared" si="27"/>
        <v>Le marketing est assuré par les bailleurs et, dans une certaine mesure, par les entreprises (par exemple, un panneau devant le magasin). Les entreprises ont peu de connaissances pour mener des activités de marketing.</v>
      </c>
      <c r="CC19" s="41" t="str">
        <f t="shared" si="27"/>
        <v>Le marketing est assuré par les bailleurs et, dans une certaine mesure, par les entreprises (par exemple, un panneau devant le magasin). Les entreprises ont peu de connaissances pour mener des activités de marketing.</v>
      </c>
      <c r="CD19" s="41" t="str">
        <f t="shared" si="27"/>
        <v>Le marketing est assuré par les bailleurs et, dans une certaine mesure, par les entreprises (par exemple, un panneau devant le magasin). Les entreprises ont peu de connaissances pour mener des activités de marketing.</v>
      </c>
      <c r="CE19" s="41" t="str">
        <f t="shared" si="27"/>
        <v>Le marketing est assuré par les bailleurs et, dans une certaine mesure, par les entreprises (par exemple, un panneau devant le magasin). Les entreprises ont peu de connaissances pour mener des activités de marketing.</v>
      </c>
      <c r="CF19" s="41" t="str">
        <f t="shared" si="27"/>
        <v>Le marketing est assuré par les bailleurs et, dans une certaine mesure, par les entreprises (par exemple, un panneau devant le magasin). Les entreprises ont peu de connaissances pour mener des activités de marketing.</v>
      </c>
      <c r="CG19" s="41" t="str">
        <f t="shared" si="27"/>
        <v>Le marketing est assuré par les bailleurs et, dans une certaine mesure, par les entreprises (par exemple, un panneau devant le magasin). Les entreprises ont peu de connaissances pour mener des activités de marketing.</v>
      </c>
      <c r="CH19" s="41" t="s">
        <v>915</v>
      </c>
      <c r="CI19" s="42" t="str">
        <f t="shared" si="28"/>
        <v>Les entreprises font du marketing de manière diversifiée (par exemple, dans les salles d'exposition, à la radio, sur les vélos). Les entreprises comprennent le potentiel du marketing.</v>
      </c>
      <c r="CJ19" s="42" t="str">
        <f t="shared" si="28"/>
        <v>Les entreprises font du marketing de manière diversifiée (par exemple, dans les salles d'exposition, à la radio, sur les vélos). Les entreprises comprennent le potentiel du marketing.</v>
      </c>
      <c r="CK19" s="42" t="str">
        <f t="shared" si="28"/>
        <v>Les entreprises font du marketing de manière diversifiée (par exemple, dans les salles d'exposition, à la radio, sur les vélos). Les entreprises comprennent le potentiel du marketing.</v>
      </c>
      <c r="CL19" s="42" t="str">
        <f t="shared" si="28"/>
        <v>Les entreprises font du marketing de manière diversifiée (par exemple, dans les salles d'exposition, à la radio, sur les vélos). Les entreprises comprennent le potentiel du marketing.</v>
      </c>
      <c r="CM19" s="42" t="str">
        <f t="shared" si="28"/>
        <v>Les entreprises font du marketing de manière diversifiée (par exemple, dans les salles d'exposition, à la radio, sur les vélos). Les entreprises comprennent le potentiel du marketing.</v>
      </c>
      <c r="CN19" s="42" t="str">
        <f t="shared" si="28"/>
        <v>Les entreprises font du marketing de manière diversifiée (par exemple, dans les salles d'exposition, à la radio, sur les vélos). Les entreprises comprennent le potentiel du marketing.</v>
      </c>
      <c r="CO19" s="42" t="str">
        <f t="shared" si="28"/>
        <v>Les entreprises font du marketing de manière diversifiée (par exemple, dans les salles d'exposition, à la radio, sur les vélos). Les entreprises comprennent le potentiel du marketing.</v>
      </c>
      <c r="CP19" s="42" t="str">
        <f t="shared" si="28"/>
        <v>Les entreprises font du marketing de manière diversifiée (par exemple, dans les salles d'exposition, à la radio, sur les vélos). Les entreprises comprennent le potentiel du marketing.</v>
      </c>
      <c r="CQ19" s="42" t="str">
        <f t="shared" si="28"/>
        <v>Les entreprises font du marketing de manière diversifiée (par exemple, dans les salles d'exposition, à la radio, sur les vélos). Les entreprises comprennent le potentiel du marketing.</v>
      </c>
      <c r="CR19" s="42" t="s">
        <v>952</v>
      </c>
      <c r="CS19" s="43" t="str">
        <f t="shared" si="29"/>
        <v>Marketing orienté vers des groupes particuliers. Les entreprises exploitent le potentiel de marketing et son efficacité est mesurée.</v>
      </c>
      <c r="CT19" s="43" t="str">
        <f t="shared" si="29"/>
        <v>Marketing orienté vers des groupes particuliers. Les entreprises exploitent le potentiel de marketing et son efficacité est mesurée.</v>
      </c>
      <c r="CU19" s="43" t="str">
        <f t="shared" si="29"/>
        <v>Marketing orienté vers des groupes particuliers. Les entreprises exploitent le potentiel de marketing et son efficacité est mesurée.</v>
      </c>
      <c r="CV19" s="43" t="str">
        <f t="shared" si="29"/>
        <v>Marketing orienté vers des groupes particuliers. Les entreprises exploitent le potentiel de marketing et son efficacité est mesurée.</v>
      </c>
      <c r="CW19" s="43" t="str">
        <f t="shared" si="29"/>
        <v>Marketing orienté vers des groupes particuliers. Les entreprises exploitent le potentiel de marketing et son efficacité est mesurée.</v>
      </c>
      <c r="CX19" s="43" t="str">
        <f t="shared" si="29"/>
        <v>Marketing orienté vers des groupes particuliers. Les entreprises exploitent le potentiel de marketing et son efficacité est mesurée.</v>
      </c>
      <c r="CY19" s="43" t="str">
        <f t="shared" si="29"/>
        <v>Marketing orienté vers des groupes particuliers. Les entreprises exploitent le potentiel de marketing et son efficacité est mesurée.</v>
      </c>
      <c r="CZ19" s="43" t="str">
        <f t="shared" si="29"/>
        <v>Marketing orienté vers des groupes particuliers. Les entreprises exploitent le potentiel de marketing et son efficacité est mesurée.</v>
      </c>
      <c r="DA19" s="43" t="str">
        <f t="shared" si="29"/>
        <v>Marketing orienté vers des groupes particuliers. Les entreprises exploitent le potentiel de marketing et son efficacité est mesurée.</v>
      </c>
      <c r="DB19" s="43" t="s">
        <v>1007</v>
      </c>
      <c r="DC19" s="441"/>
    </row>
    <row r="20" spans="1:107" ht="80.099999999999994" customHeight="1" thickTop="1" thickBot="1" x14ac:dyDescent="0.25">
      <c r="A20" s="244"/>
      <c r="B20" s="645"/>
      <c r="C20" s="649"/>
      <c r="D20" s="136" t="s">
        <v>759</v>
      </c>
      <c r="E20" s="48" t="s">
        <v>700</v>
      </c>
      <c r="F20" s="39" t="str">
        <f>$O20</f>
        <v>Only relevant for local production: Ability to produce consistently in terms of quality and quantity.</v>
      </c>
      <c r="G20" s="39" t="s">
        <v>504</v>
      </c>
      <c r="H20" s="39" t="s">
        <v>504</v>
      </c>
      <c r="I20" s="39" t="str">
        <f t="shared" si="20"/>
        <v>Only relevant for local production: Ability to produce consistently in terms of quality and quantity.</v>
      </c>
      <c r="J20" s="39" t="str">
        <f>$O20</f>
        <v>Only relevant for local production: Ability to produce consistently in terms of quality and quantity.</v>
      </c>
      <c r="K20" s="39" t="str">
        <f t="shared" si="20"/>
        <v>Only relevant for local production: Ability to produce consistently in terms of quality and quantity.</v>
      </c>
      <c r="L20" s="39" t="str">
        <f t="shared" si="20"/>
        <v>Only relevant for local production: Ability to produce consistently in terms of quality and quantity.</v>
      </c>
      <c r="M20" s="39" t="str">
        <f t="shared" si="20"/>
        <v>Only relevant for local production: Ability to produce consistently in terms of quality and quantity.</v>
      </c>
      <c r="N20" s="39" t="str">
        <f t="shared" si="20"/>
        <v>Only relevant for local production: Ability to produce consistently in terms of quality and quantity.</v>
      </c>
      <c r="O20" s="48" t="s">
        <v>1042</v>
      </c>
      <c r="P20" s="40" t="str">
        <f>$Y20</f>
        <v>Few producers have standardized production processes and all steps are manual. Most struggle to produce good quality.</v>
      </c>
      <c r="Q20" s="40" t="s">
        <v>504</v>
      </c>
      <c r="R20" s="40" t="s">
        <v>504</v>
      </c>
      <c r="S20" s="40" t="str">
        <f t="shared" si="21"/>
        <v>Few producers have standardized production processes and all steps are manual. Most struggle to produce good quality.</v>
      </c>
      <c r="T20" s="40" t="str">
        <f>$Y20</f>
        <v>Few producers have standardized production processes and all steps are manual. Most struggle to produce good quality.</v>
      </c>
      <c r="U20" s="40" t="str">
        <f t="shared" si="21"/>
        <v>Few producers have standardized production processes and all steps are manual. Most struggle to produce good quality.</v>
      </c>
      <c r="V20" s="40" t="str">
        <f t="shared" si="21"/>
        <v>Few producers have standardized production processes and all steps are manual. Most struggle to produce good quality.</v>
      </c>
      <c r="W20" s="40" t="s">
        <v>505</v>
      </c>
      <c r="X20" s="40" t="str">
        <f t="shared" si="21"/>
        <v>Few producers have standardized production processes and all steps are manual. Most struggle to produce good quality.</v>
      </c>
      <c r="Y20" s="40" t="s">
        <v>707</v>
      </c>
      <c r="Z20" s="41" t="str">
        <f t="shared" si="22"/>
        <v>Some producers have standardized production processes and most steps are manual. The quality standard  is varying.</v>
      </c>
      <c r="AA20" s="41" t="s">
        <v>504</v>
      </c>
      <c r="AB20" s="41" t="s">
        <v>504</v>
      </c>
      <c r="AC20" s="41" t="str">
        <f t="shared" si="22"/>
        <v>Some producers have standardized production processes and most steps are manual. The quality standard  is varying.</v>
      </c>
      <c r="AD20" s="41" t="str">
        <f>$AI20</f>
        <v>Some producers have standardized production processes and most steps are manual. The quality standard  is varying.</v>
      </c>
      <c r="AE20" s="41" t="str">
        <f t="shared" si="22"/>
        <v>Some producers have standardized production processes and most steps are manual. The quality standard  is varying.</v>
      </c>
      <c r="AF20" s="41" t="str">
        <f t="shared" si="22"/>
        <v>Some producers have standardized production processes and most steps are manual. The quality standard  is varying.</v>
      </c>
      <c r="AG20" s="41" t="s">
        <v>506</v>
      </c>
      <c r="AH20" s="41" t="str">
        <f t="shared" si="22"/>
        <v>Some producers have standardized production processes and most steps are manual. The quality standard  is varying.</v>
      </c>
      <c r="AI20" s="41" t="s">
        <v>706</v>
      </c>
      <c r="AJ20" s="42" t="str">
        <f t="shared" si="23"/>
        <v>Most producers have standardized production processes with some level of automatisation. In general, quality is high.</v>
      </c>
      <c r="AK20" s="42" t="s">
        <v>504</v>
      </c>
      <c r="AL20" s="42" t="s">
        <v>504</v>
      </c>
      <c r="AM20" s="42" t="str">
        <f t="shared" si="23"/>
        <v>Most producers have standardized production processes with some level of automatisation. In general, quality is high.</v>
      </c>
      <c r="AN20" s="42" t="str">
        <f>$AS20</f>
        <v>Most producers have standardized production processes with some level of automatisation. In general, quality is high.</v>
      </c>
      <c r="AO20" s="42" t="str">
        <f t="shared" si="23"/>
        <v>Most producers have standardized production processes with some level of automatisation. In general, quality is high.</v>
      </c>
      <c r="AP20" s="42" t="str">
        <f t="shared" si="23"/>
        <v>Most producers have standardized production processes with some level of automatisation. In general, quality is high.</v>
      </c>
      <c r="AQ20" s="42" t="s">
        <v>507</v>
      </c>
      <c r="AR20" s="42" t="str">
        <f t="shared" si="23"/>
        <v>Most producers have standardized production processes with some level of automatisation. In general, quality is high.</v>
      </c>
      <c r="AS20" s="42" t="s">
        <v>705</v>
      </c>
      <c r="AT20" s="43" t="str">
        <f>$BC20</f>
        <v>High level of standardised production with several automated steps. Product quality is consitent and very high.</v>
      </c>
      <c r="AU20" s="43" t="s">
        <v>504</v>
      </c>
      <c r="AV20" s="43" t="s">
        <v>504</v>
      </c>
      <c r="AW20" s="43" t="str">
        <f t="shared" si="24"/>
        <v>High level of standardised production with several automated steps. Product quality is consitent and very high.</v>
      </c>
      <c r="AX20" s="43" t="str">
        <f>$BC20</f>
        <v>High level of standardised production with several automated steps. Product quality is consitent and very high.</v>
      </c>
      <c r="AY20" s="43" t="str">
        <f t="shared" si="24"/>
        <v>High level of standardised production with several automated steps. Product quality is consitent and very high.</v>
      </c>
      <c r="AZ20" s="43" t="str">
        <f t="shared" si="24"/>
        <v>High level of standardised production with several automated steps. Product quality is consitent and very high.</v>
      </c>
      <c r="BA20" s="43" t="s">
        <v>508</v>
      </c>
      <c r="BB20" s="43" t="str">
        <f t="shared" si="24"/>
        <v>High level of standardised production with several automated steps. Product quality is consitent and very high.</v>
      </c>
      <c r="BC20" s="43" t="s">
        <v>708</v>
      </c>
      <c r="BD20" s="244"/>
      <c r="BE20" s="39" t="str">
        <f t="shared" si="25"/>
        <v>Ne concerne que la production locale : Capacité à produire de manière constante en termes de qualité et de quantité.</v>
      </c>
      <c r="BF20" s="39" t="s">
        <v>830</v>
      </c>
      <c r="BG20" s="39" t="s">
        <v>830</v>
      </c>
      <c r="BH20" s="39" t="str">
        <f t="shared" si="25"/>
        <v>Ne concerne que la production locale : Capacité à produire de manière constante en termes de qualité et de quantité.</v>
      </c>
      <c r="BI20" s="39" t="str">
        <f t="shared" si="25"/>
        <v>Ne concerne que la production locale : Capacité à produire de manière constante en termes de qualité et de quantité.</v>
      </c>
      <c r="BJ20" s="39" t="str">
        <f t="shared" si="25"/>
        <v>Ne concerne que la production locale : Capacité à produire de manière constante en termes de qualité et de quantité.</v>
      </c>
      <c r="BK20" s="39" t="str">
        <f t="shared" si="25"/>
        <v>Ne concerne que la production locale : Capacité à produire de manière constante en termes de qualité et de quantité.</v>
      </c>
      <c r="BL20" s="39" t="str">
        <f t="shared" si="25"/>
        <v>Ne concerne que la production locale : Capacité à produire de manière constante en termes de qualité et de quantité.</v>
      </c>
      <c r="BM20" s="39" t="str">
        <f t="shared" si="25"/>
        <v>Ne concerne que la production locale : Capacité à produire de manière constante en termes de qualité et de quantité.</v>
      </c>
      <c r="BN20" s="48" t="s">
        <v>801</v>
      </c>
      <c r="BO20" s="40" t="str">
        <f t="shared" si="26"/>
        <v>Peu de producteurs ont des processus de production standardisés et toutes les étapes sont manuelles. La plupart  s'efforcent de produire des produits de bonne qualité.</v>
      </c>
      <c r="BP20" s="40" t="s">
        <v>830</v>
      </c>
      <c r="BQ20" s="40" t="s">
        <v>830</v>
      </c>
      <c r="BR20" s="40" t="str">
        <f t="shared" si="26"/>
        <v>Peu de producteurs ont des processus de production standardisés et toutes les étapes sont manuelles. La plupart  s'efforcent de produire des produits de bonne qualité.</v>
      </c>
      <c r="BS20" s="40" t="str">
        <f t="shared" si="26"/>
        <v>Peu de producteurs ont des processus de production standardisés et toutes les étapes sont manuelles. La plupart  s'efforcent de produire des produits de bonne qualité.</v>
      </c>
      <c r="BT20" s="40" t="str">
        <f t="shared" si="26"/>
        <v>Peu de producteurs ont des processus de production standardisés et toutes les étapes sont manuelles. La plupart  s'efforcent de produire des produits de bonne qualité.</v>
      </c>
      <c r="BU20" s="40" t="str">
        <f t="shared" si="26"/>
        <v>Peu de producteurs ont des processus de production standardisés et toutes les étapes sont manuelles. La plupart  s'efforcent de produire des produits de bonne qualité.</v>
      </c>
      <c r="BV20" s="40" t="str">
        <f t="shared" si="26"/>
        <v>Peu de producteurs ont des processus de production standardisés et toutes les étapes sont manuelles. La plupart  s'efforcent de produire des produits de bonne qualité.</v>
      </c>
      <c r="BW20" s="40" t="str">
        <f t="shared" si="26"/>
        <v>Peu de producteurs ont des processus de production standardisés et toutes les étapes sont manuelles. La plupart  s'efforcent de produire des produits de bonne qualité.</v>
      </c>
      <c r="BX20" s="40" t="s">
        <v>868</v>
      </c>
      <c r="BY20" s="41" t="str">
        <f t="shared" si="27"/>
        <v>Certains producteurs ont des processus de production standardisés et la plupart des étapes sont manuelles. Les normes de qualité varient.</v>
      </c>
      <c r="BZ20" s="41" t="s">
        <v>830</v>
      </c>
      <c r="CA20" s="41" t="s">
        <v>830</v>
      </c>
      <c r="CB20" s="41" t="str">
        <f t="shared" si="27"/>
        <v>Certains producteurs ont des processus de production standardisés et la plupart des étapes sont manuelles. Les normes de qualité varient.</v>
      </c>
      <c r="CC20" s="41" t="str">
        <f t="shared" si="27"/>
        <v>Certains producteurs ont des processus de production standardisés et la plupart des étapes sont manuelles. Les normes de qualité varient.</v>
      </c>
      <c r="CD20" s="41" t="str">
        <f t="shared" si="27"/>
        <v>Certains producteurs ont des processus de production standardisés et la plupart des étapes sont manuelles. Les normes de qualité varient.</v>
      </c>
      <c r="CE20" s="41" t="str">
        <f t="shared" si="27"/>
        <v>Certains producteurs ont des processus de production standardisés et la plupart des étapes sont manuelles. Les normes de qualité varient.</v>
      </c>
      <c r="CF20" s="41" t="str">
        <f t="shared" si="27"/>
        <v>Certains producteurs ont des processus de production standardisés et la plupart des étapes sont manuelles. Les normes de qualité varient.</v>
      </c>
      <c r="CG20" s="41" t="str">
        <f t="shared" si="27"/>
        <v>Certains producteurs ont des processus de production standardisés et la plupart des étapes sont manuelles. Les normes de qualité varient.</v>
      </c>
      <c r="CH20" s="41" t="s">
        <v>916</v>
      </c>
      <c r="CI20" s="42" t="str">
        <f t="shared" si="28"/>
        <v>La plupart des producteurs ont des processus de production standardisés avec un certain niveau d'automatisation. En général, la qualité est élevée.</v>
      </c>
      <c r="CJ20" s="42" t="s">
        <v>830</v>
      </c>
      <c r="CK20" s="42" t="s">
        <v>830</v>
      </c>
      <c r="CL20" s="42" t="str">
        <f t="shared" si="28"/>
        <v>La plupart des producteurs ont des processus de production standardisés avec un certain niveau d'automatisation. En général, la qualité est élevée.</v>
      </c>
      <c r="CM20" s="42" t="str">
        <f t="shared" si="28"/>
        <v>La plupart des producteurs ont des processus de production standardisés avec un certain niveau d'automatisation. En général, la qualité est élevée.</v>
      </c>
      <c r="CN20" s="42" t="str">
        <f t="shared" si="28"/>
        <v>La plupart des producteurs ont des processus de production standardisés avec un certain niveau d'automatisation. En général, la qualité est élevée.</v>
      </c>
      <c r="CO20" s="42" t="str">
        <f t="shared" si="28"/>
        <v>La plupart des producteurs ont des processus de production standardisés avec un certain niveau d'automatisation. En général, la qualité est élevée.</v>
      </c>
      <c r="CP20" s="42" t="str">
        <f t="shared" si="28"/>
        <v>La plupart des producteurs ont des processus de production standardisés avec un certain niveau d'automatisation. En général, la qualité est élevée.</v>
      </c>
      <c r="CQ20" s="42" t="str">
        <f t="shared" si="28"/>
        <v>La plupart des producteurs ont des processus de production standardisés avec un certain niveau d'automatisation. En général, la qualité est élevée.</v>
      </c>
      <c r="CR20" s="42" t="s">
        <v>953</v>
      </c>
      <c r="CS20" s="43" t="str">
        <f t="shared" si="29"/>
        <v>Niveau élevé de production standardisée avec plusieurs étapes automatisées. La qualité des produits est constante et très élevée.</v>
      </c>
      <c r="CT20" s="43" t="s">
        <v>830</v>
      </c>
      <c r="CU20" s="43" t="s">
        <v>830</v>
      </c>
      <c r="CV20" s="43" t="str">
        <f t="shared" si="29"/>
        <v>Niveau élevé de production standardisée avec plusieurs étapes automatisées. La qualité des produits est constante et très élevée.</v>
      </c>
      <c r="CW20" s="43" t="str">
        <f t="shared" si="29"/>
        <v>Niveau élevé de production standardisée avec plusieurs étapes automatisées. La qualité des produits est constante et très élevée.</v>
      </c>
      <c r="CX20" s="43" t="str">
        <f t="shared" si="29"/>
        <v>Niveau élevé de production standardisée avec plusieurs étapes automatisées. La qualité des produits est constante et très élevée.</v>
      </c>
      <c r="CY20" s="43" t="str">
        <f t="shared" si="29"/>
        <v>Niveau élevé de production standardisée avec plusieurs étapes automatisées. La qualité des produits est constante et très élevée.</v>
      </c>
      <c r="CZ20" s="43" t="str">
        <f t="shared" si="29"/>
        <v>Niveau élevé de production standardisée avec plusieurs étapes automatisées. La qualité des produits est constante et très élevée.</v>
      </c>
      <c r="DA20" s="43" t="str">
        <f t="shared" si="29"/>
        <v>Niveau élevé de production standardisée avec plusieurs étapes automatisées. La qualité des produits est constante et très élevée.</v>
      </c>
      <c r="DB20" s="43" t="s">
        <v>981</v>
      </c>
      <c r="DC20" s="441"/>
    </row>
    <row r="21" spans="1:107" ht="80.099999999999994" customHeight="1" thickTop="1" thickBot="1" x14ac:dyDescent="0.25">
      <c r="A21" s="244"/>
      <c r="B21" s="542" t="s">
        <v>154</v>
      </c>
      <c r="C21" s="49" t="s">
        <v>155</v>
      </c>
      <c r="D21" s="49" t="s">
        <v>11</v>
      </c>
      <c r="E21" s="48" t="s">
        <v>156</v>
      </c>
      <c r="F21" s="39" t="str">
        <f t="shared" si="20"/>
        <v>Number of types and brands.</v>
      </c>
      <c r="G21" s="39" t="str">
        <f t="shared" si="20"/>
        <v>Number of types and brands.</v>
      </c>
      <c r="H21" s="39" t="str">
        <f t="shared" si="20"/>
        <v>Number of types and brands.</v>
      </c>
      <c r="I21" s="39" t="str">
        <f t="shared" si="20"/>
        <v>Number of types and brands.</v>
      </c>
      <c r="J21" s="48" t="s">
        <v>756</v>
      </c>
      <c r="K21" s="39" t="str">
        <f t="shared" si="20"/>
        <v>Number of types and brands.</v>
      </c>
      <c r="L21" s="39" t="str">
        <f t="shared" si="20"/>
        <v>Number of types and brands.</v>
      </c>
      <c r="M21" s="39" t="str">
        <f t="shared" si="20"/>
        <v>Number of types and brands.</v>
      </c>
      <c r="N21" s="39" t="str">
        <f t="shared" si="20"/>
        <v>Number of types and brands.</v>
      </c>
      <c r="O21" s="48" t="s">
        <v>732</v>
      </c>
      <c r="P21" s="40" t="str">
        <f t="shared" si="21"/>
        <v>There is only a very limited number of type of quality product(s)/service(s) in the market.</v>
      </c>
      <c r="Q21" s="40" t="str">
        <f t="shared" si="21"/>
        <v>There is only a very limited number of type of quality product(s)/service(s) in the market.</v>
      </c>
      <c r="R21" s="40" t="str">
        <f t="shared" si="21"/>
        <v>There is only a very limited number of type of quality product(s)/service(s) in the market.</v>
      </c>
      <c r="S21" s="40" t="str">
        <f t="shared" si="21"/>
        <v>There is only a very limited number of type of quality product(s)/service(s) in the market.</v>
      </c>
      <c r="T21" s="40" t="s">
        <v>509</v>
      </c>
      <c r="U21" s="40" t="str">
        <f t="shared" si="21"/>
        <v>There is only a very limited number of type of quality product(s)/service(s) in the market.</v>
      </c>
      <c r="V21" s="40" t="str">
        <f t="shared" si="21"/>
        <v>There is only a very limited number of type of quality product(s)/service(s) in the market.</v>
      </c>
      <c r="W21" s="40" t="str">
        <f t="shared" si="21"/>
        <v>There is only a very limited number of type of quality product(s)/service(s) in the market.</v>
      </c>
      <c r="X21" s="40" t="str">
        <f t="shared" si="21"/>
        <v>There is only a very limited number of type of quality product(s)/service(s) in the market.</v>
      </c>
      <c r="Y21" s="40" t="s">
        <v>510</v>
      </c>
      <c r="Z21" s="41" t="str">
        <f t="shared" si="22"/>
        <v>More types of products/services appear for different needs / preferences</v>
      </c>
      <c r="AA21" s="41" t="str">
        <f t="shared" si="22"/>
        <v>More types of products/services appear for different needs / preferences</v>
      </c>
      <c r="AB21" s="41" t="str">
        <f t="shared" si="22"/>
        <v>More types of products/services appear for different needs / preferences</v>
      </c>
      <c r="AC21" s="41" t="str">
        <f t="shared" si="22"/>
        <v>More types of products/services appear for different needs / preferences</v>
      </c>
      <c r="AD21" s="41" t="s">
        <v>511</v>
      </c>
      <c r="AE21" s="41" t="str">
        <f t="shared" si="22"/>
        <v>More types of products/services appear for different needs / preferences</v>
      </c>
      <c r="AF21" s="41" t="str">
        <f t="shared" si="22"/>
        <v>More types of products/services appear for different needs / preferences</v>
      </c>
      <c r="AG21" s="41" t="str">
        <f t="shared" si="22"/>
        <v>More types of products/services appear for different needs / preferences</v>
      </c>
      <c r="AH21" s="41" t="str">
        <f t="shared" si="22"/>
        <v>More types of products/services appear for different needs / preferences</v>
      </c>
      <c r="AI21" s="41" t="s">
        <v>512</v>
      </c>
      <c r="AJ21" s="42" t="str">
        <f t="shared" si="23"/>
        <v>Successful improved product/service variations dominate. Variations appear for different consumer segments</v>
      </c>
      <c r="AK21" s="42" t="str">
        <f t="shared" si="23"/>
        <v>Successful improved product/service variations dominate. Variations appear for different consumer segments</v>
      </c>
      <c r="AL21" s="42" t="str">
        <f t="shared" si="23"/>
        <v>Successful improved product/service variations dominate. Variations appear for different consumer segments</v>
      </c>
      <c r="AM21" s="42" t="str">
        <f t="shared" si="23"/>
        <v>Successful improved product/service variations dominate. Variations appear for different consumer segments</v>
      </c>
      <c r="AN21" s="42" t="s">
        <v>513</v>
      </c>
      <c r="AO21" s="42" t="str">
        <f t="shared" si="23"/>
        <v>Successful improved product/service variations dominate. Variations appear for different consumer segments</v>
      </c>
      <c r="AP21" s="42" t="str">
        <f t="shared" si="23"/>
        <v>Successful improved product/service variations dominate. Variations appear for different consumer segments</v>
      </c>
      <c r="AQ21" s="42" t="str">
        <f t="shared" si="23"/>
        <v>Successful improved product/service variations dominate. Variations appear for different consumer segments</v>
      </c>
      <c r="AR21" s="42" t="str">
        <f t="shared" si="23"/>
        <v>Successful improved product/service variations dominate. Variations appear for different consumer segments</v>
      </c>
      <c r="AS21" s="42" t="s">
        <v>514</v>
      </c>
      <c r="AT21" s="43" t="str">
        <f t="shared" si="24"/>
        <v>Different needs of each consumer segment (regarding services and/or preferences) are served with a diversity of products/services.</v>
      </c>
      <c r="AU21" s="43" t="str">
        <f t="shared" si="24"/>
        <v>Different needs of each consumer segment (regarding services and/or preferences) are served with a diversity of products/services.</v>
      </c>
      <c r="AV21" s="43" t="str">
        <f t="shared" si="24"/>
        <v>Different needs of each consumer segment (regarding services and/or preferences) are served with a diversity of products/services.</v>
      </c>
      <c r="AW21" s="43" t="str">
        <f t="shared" si="24"/>
        <v>Different needs of each consumer segment (regarding services and/or preferences) are served with a diversity of products/services.</v>
      </c>
      <c r="AX21" s="43" t="str">
        <f t="shared" si="24"/>
        <v>Different needs of each consumer segment (regarding services and/or preferences) are served with a diversity of products/services.</v>
      </c>
      <c r="AY21" s="43" t="str">
        <f t="shared" si="24"/>
        <v>Different needs of each consumer segment (regarding services and/or preferences) are served with a diversity of products/services.</v>
      </c>
      <c r="AZ21" s="43" t="str">
        <f t="shared" si="24"/>
        <v>Different needs of each consumer segment (regarding services and/or preferences) are served with a diversity of products/services.</v>
      </c>
      <c r="BA21" s="43" t="str">
        <f t="shared" si="24"/>
        <v>Different needs of each consumer segment (regarding services and/or preferences) are served with a diversity of products/services.</v>
      </c>
      <c r="BB21" s="43" t="str">
        <f t="shared" si="24"/>
        <v>Different needs of each consumer segment (regarding services and/or preferences) are served with a diversity of products/services.</v>
      </c>
      <c r="BC21" s="43" t="s">
        <v>515</v>
      </c>
      <c r="BD21" s="244"/>
      <c r="BE21" s="39" t="str">
        <f t="shared" si="25"/>
        <v>Variation de types et de marques.</v>
      </c>
      <c r="BF21" s="39" t="str">
        <f t="shared" si="25"/>
        <v>Variation de types et de marques.</v>
      </c>
      <c r="BG21" s="39" t="str">
        <f t="shared" si="25"/>
        <v>Variation de types et de marques.</v>
      </c>
      <c r="BH21" s="39" t="str">
        <f t="shared" si="25"/>
        <v>Variation de types et de marques.</v>
      </c>
      <c r="BI21" s="39" t="s">
        <v>829</v>
      </c>
      <c r="BJ21" s="39" t="str">
        <f t="shared" si="25"/>
        <v>Variation de types et de marques.</v>
      </c>
      <c r="BK21" s="39" t="str">
        <f t="shared" si="25"/>
        <v>Variation de types et de marques.</v>
      </c>
      <c r="BL21" s="39" t="str">
        <f t="shared" si="25"/>
        <v>Variation de types et de marques.</v>
      </c>
      <c r="BM21" s="39" t="str">
        <f t="shared" si="25"/>
        <v>Variation de types et de marques.</v>
      </c>
      <c r="BN21" s="48" t="s">
        <v>802</v>
      </c>
      <c r="BO21" s="40" t="str">
        <f t="shared" si="26"/>
        <v>Il n'existe qu'un choix très limitée de produits/services de qualité sur le marché.</v>
      </c>
      <c r="BP21" s="40" t="str">
        <f t="shared" si="26"/>
        <v>Il n'existe qu'un choix très limitée de produits/services de qualité sur le marché.</v>
      </c>
      <c r="BQ21" s="40" t="str">
        <f t="shared" si="26"/>
        <v>Il n'existe qu'un choix très limitée de produits/services de qualité sur le marché.</v>
      </c>
      <c r="BR21" s="40" t="str">
        <f t="shared" si="26"/>
        <v>Il n'existe qu'un choix très limitée de produits/services de qualité sur le marché.</v>
      </c>
      <c r="BS21" s="40" t="s">
        <v>870</v>
      </c>
      <c r="BT21" s="40" t="str">
        <f t="shared" si="26"/>
        <v>Il n'existe qu'un choix très limitée de produits/services de qualité sur le marché.</v>
      </c>
      <c r="BU21" s="40" t="str">
        <f t="shared" si="26"/>
        <v>Il n'existe qu'un choix très limitée de produits/services de qualité sur le marché.</v>
      </c>
      <c r="BV21" s="40" t="str">
        <f t="shared" si="26"/>
        <v>Il n'existe qu'un choix très limitée de produits/services de qualité sur le marché.</v>
      </c>
      <c r="BW21" s="40" t="str">
        <f t="shared" si="26"/>
        <v>Il n'existe qu'un choix très limitée de produits/services de qualité sur le marché.</v>
      </c>
      <c r="BX21" s="40" t="s">
        <v>869</v>
      </c>
      <c r="BY21" s="41" t="str">
        <f t="shared" si="27"/>
        <v>Davantage de choix des produits/services apparaissent pour répondre à différents besoins/préférences.</v>
      </c>
      <c r="BZ21" s="41" t="str">
        <f t="shared" si="27"/>
        <v>Davantage de choix des produits/services apparaissent pour répondre à différents besoins/préférences.</v>
      </c>
      <c r="CA21" s="41" t="str">
        <f t="shared" si="27"/>
        <v>Davantage de choix des produits/services apparaissent pour répondre à différents besoins/préférences.</v>
      </c>
      <c r="CB21" s="41" t="str">
        <f t="shared" si="27"/>
        <v>Davantage de choix des produits/services apparaissent pour répondre à différents besoins/préférences.</v>
      </c>
      <c r="CC21" s="41" t="s">
        <v>1018</v>
      </c>
      <c r="CD21" s="41" t="str">
        <f t="shared" si="27"/>
        <v>Davantage de choix des produits/services apparaissent pour répondre à différents besoins/préférences.</v>
      </c>
      <c r="CE21" s="41" t="str">
        <f t="shared" si="27"/>
        <v>Davantage de choix des produits/services apparaissent pour répondre à différents besoins/préférences.</v>
      </c>
      <c r="CF21" s="41" t="str">
        <f t="shared" si="27"/>
        <v>Davantage de choix des produits/services apparaissent pour répondre à différents besoins/préférences.</v>
      </c>
      <c r="CG21" s="41" t="str">
        <f t="shared" si="27"/>
        <v>Davantage de choix des produits/services apparaissent pour répondre à différents besoins/préférences.</v>
      </c>
      <c r="CH21" s="41" t="s">
        <v>918</v>
      </c>
      <c r="CI21" s="42" t="str">
        <f t="shared" si="28"/>
        <v>Les produits/ services améliorés dominent le marché. Des variantes apparaissent pour différents segments de consommateurs</v>
      </c>
      <c r="CJ21" s="42" t="str">
        <f t="shared" si="28"/>
        <v>Les produits/ services améliorés dominent le marché. Des variantes apparaissent pour différents segments de consommateurs</v>
      </c>
      <c r="CK21" s="42" t="str">
        <f t="shared" si="28"/>
        <v>Les produits/ services améliorés dominent le marché. Des variantes apparaissent pour différents segments de consommateurs</v>
      </c>
      <c r="CL21" s="42" t="str">
        <f t="shared" si="28"/>
        <v>Les produits/ services améliorés dominent le marché. Des variantes apparaissent pour différents segments de consommateurs</v>
      </c>
      <c r="CM21" s="42" t="s">
        <v>1017</v>
      </c>
      <c r="CN21" s="42" t="str">
        <f t="shared" si="28"/>
        <v>Les produits/ services améliorés dominent le marché. Des variantes apparaissent pour différents segments de consommateurs</v>
      </c>
      <c r="CO21" s="42" t="str">
        <f t="shared" si="28"/>
        <v>Les produits/ services améliorés dominent le marché. Des variantes apparaissent pour différents segments de consommateurs</v>
      </c>
      <c r="CP21" s="42" t="str">
        <f t="shared" si="28"/>
        <v>Les produits/ services améliorés dominent le marché. Des variantes apparaissent pour différents segments de consommateurs</v>
      </c>
      <c r="CQ21" s="42" t="str">
        <f t="shared" si="28"/>
        <v>Les produits/ services améliorés dominent le marché. Des variantes apparaissent pour différents segments de consommateurs</v>
      </c>
      <c r="CR21" s="42" t="s">
        <v>1016</v>
      </c>
      <c r="CS21" s="43" t="str">
        <f t="shared" si="29"/>
        <v>Les différents besoins de chaque segment de consommateurs (en ce qui concerne les services et/ou les préférences) sont satisfaits par une diversité de produits/services.</v>
      </c>
      <c r="CT21" s="43" t="str">
        <f t="shared" si="29"/>
        <v>Les différents besoins de chaque segment de consommateurs (en ce qui concerne les services et/ou les préférences) sont satisfaits par une diversité de produits/services.</v>
      </c>
      <c r="CU21" s="43" t="str">
        <f t="shared" si="29"/>
        <v>Les différents besoins de chaque segment de consommateurs (en ce qui concerne les services et/ou les préférences) sont satisfaits par une diversité de produits/services.</v>
      </c>
      <c r="CV21" s="43" t="str">
        <f t="shared" si="29"/>
        <v>Les différents besoins de chaque segment de consommateurs (en ce qui concerne les services et/ou les préférences) sont satisfaits par une diversité de produits/services.</v>
      </c>
      <c r="CW21" s="43" t="str">
        <f t="shared" si="29"/>
        <v>Les différents besoins de chaque segment de consommateurs (en ce qui concerne les services et/ou les préférences) sont satisfaits par une diversité de produits/services.</v>
      </c>
      <c r="CX21" s="43" t="str">
        <f t="shared" si="29"/>
        <v>Les différents besoins de chaque segment de consommateurs (en ce qui concerne les services et/ou les préférences) sont satisfaits par une diversité de produits/services.</v>
      </c>
      <c r="CY21" s="43" t="str">
        <f t="shared" si="29"/>
        <v>Les différents besoins de chaque segment de consommateurs (en ce qui concerne les services et/ou les préférences) sont satisfaits par une diversité de produits/services.</v>
      </c>
      <c r="CZ21" s="43" t="str">
        <f t="shared" si="29"/>
        <v>Les différents besoins de chaque segment de consommateurs (en ce qui concerne les services et/ou les préférences) sont satisfaits par une diversité de produits/services.</v>
      </c>
      <c r="DA21" s="43" t="str">
        <f t="shared" si="29"/>
        <v>Les différents besoins de chaque segment de consommateurs (en ce qui concerne les services et/ou les préférences) sont satisfaits par une diversité de produits/services.</v>
      </c>
      <c r="DB21" s="43" t="s">
        <v>982</v>
      </c>
      <c r="DC21" s="441"/>
    </row>
    <row r="22" spans="1:107" ht="80.099999999999994" customHeight="1" thickTop="1" thickBot="1" x14ac:dyDescent="0.25">
      <c r="A22" s="244"/>
      <c r="B22" s="543"/>
      <c r="C22" s="49" t="s">
        <v>157</v>
      </c>
      <c r="D22" s="49" t="s">
        <v>14</v>
      </c>
      <c r="E22" s="48" t="s">
        <v>158</v>
      </c>
      <c r="F22" s="39" t="str">
        <f t="shared" si="20"/>
        <v>Share of relevant market population owning the product/service.</v>
      </c>
      <c r="G22" s="39" t="str">
        <f t="shared" si="20"/>
        <v>Share of relevant market population owning the product/service.</v>
      </c>
      <c r="H22" s="39" t="str">
        <f t="shared" si="20"/>
        <v>Share of relevant market population owning the product/service.</v>
      </c>
      <c r="I22" s="39" t="str">
        <f t="shared" si="20"/>
        <v>Share of relevant market population owning the product/service.</v>
      </c>
      <c r="J22" s="39" t="str">
        <f t="shared" si="20"/>
        <v>Share of relevant market population owning the product/service.</v>
      </c>
      <c r="K22" s="39" t="str">
        <f t="shared" si="20"/>
        <v>Share of relevant market population owning the product/service.</v>
      </c>
      <c r="L22" s="39" t="str">
        <f t="shared" si="20"/>
        <v>Share of relevant market population owning the product/service.</v>
      </c>
      <c r="M22" s="39" t="str">
        <f t="shared" si="20"/>
        <v>Share of relevant market population owning the product/service.</v>
      </c>
      <c r="N22" s="39" t="str">
        <f t="shared" si="20"/>
        <v>Share of relevant market population owning the product/service.</v>
      </c>
      <c r="O22" s="48" t="s">
        <v>516</v>
      </c>
      <c r="P22" s="40" t="str">
        <f t="shared" si="21"/>
        <v>Low market penetration rates (&lt;5%), as only the innovators (2-5% of all potential customers) have adopted the technology.</v>
      </c>
      <c r="Q22" s="40" t="str">
        <f t="shared" si="21"/>
        <v>Low market penetration rates (&lt;5%), as only the innovators (2-5% of all potential customers) have adopted the technology.</v>
      </c>
      <c r="R22" s="40" t="str">
        <f t="shared" si="21"/>
        <v>Low market penetration rates (&lt;5%), as only the innovators (2-5% of all potential customers) have adopted the technology.</v>
      </c>
      <c r="S22" s="40" t="str">
        <f t="shared" si="21"/>
        <v>Low market penetration rates (&lt;5%), as only the innovators (2-5% of all potential customers) have adopted the technology.</v>
      </c>
      <c r="T22" s="40" t="str">
        <f t="shared" si="21"/>
        <v>Low market penetration rates (&lt;5%), as only the innovators (2-5% of all potential customers) have adopted the technology.</v>
      </c>
      <c r="U22" s="40" t="str">
        <f t="shared" si="21"/>
        <v>Low market penetration rates (&lt;5%), as only the innovators (2-5% of all potential customers) have adopted the technology.</v>
      </c>
      <c r="V22" s="40" t="str">
        <f t="shared" si="21"/>
        <v>Low market penetration rates (&lt;5%), as only the innovators (2-5% of all potential customers) have adopted the technology.</v>
      </c>
      <c r="W22" s="40" t="str">
        <f t="shared" si="21"/>
        <v>Low market penetration rates (&lt;5%), as only the innovators (2-5% of all potential customers) have adopted the technology.</v>
      </c>
      <c r="X22" s="40" t="str">
        <f t="shared" si="21"/>
        <v>Low market penetration rates (&lt;5%), as only the innovators (2-5% of all potential customers) have adopted the technology.</v>
      </c>
      <c r="Y22" s="40" t="s">
        <v>517</v>
      </c>
      <c r="Z22" s="41" t="str">
        <f t="shared" si="22"/>
        <v xml:space="preserve">Market penetration rates increase (6-15%), first in areas where the supply is located. </v>
      </c>
      <c r="AA22" s="41" t="str">
        <f t="shared" si="22"/>
        <v xml:space="preserve">Market penetration rates increase (6-15%), first in areas where the supply is located. </v>
      </c>
      <c r="AB22" s="41" t="str">
        <f t="shared" si="22"/>
        <v xml:space="preserve">Market penetration rates increase (6-15%), first in areas where the supply is located. </v>
      </c>
      <c r="AC22" s="41" t="str">
        <f t="shared" si="22"/>
        <v xml:space="preserve">Market penetration rates increase (6-15%), first in areas where the supply is located. </v>
      </c>
      <c r="AD22" s="41" t="str">
        <f t="shared" si="22"/>
        <v xml:space="preserve">Market penetration rates increase (6-15%), first in areas where the supply is located. </v>
      </c>
      <c r="AE22" s="41" t="str">
        <f t="shared" si="22"/>
        <v xml:space="preserve">Market penetration rates increase (6-15%), first in areas where the supply is located. </v>
      </c>
      <c r="AF22" s="41" t="str">
        <f t="shared" si="22"/>
        <v xml:space="preserve">Market penetration rates increase (6-15%), first in areas where the supply is located. </v>
      </c>
      <c r="AG22" s="41" t="str">
        <f t="shared" si="22"/>
        <v xml:space="preserve">Market penetration rates increase (6-15%), first in areas where the supply is located. </v>
      </c>
      <c r="AH22" s="41" t="str">
        <f t="shared" si="22"/>
        <v xml:space="preserve">Market penetration rates increase (6-15%), first in areas where the supply is located. </v>
      </c>
      <c r="AI22" s="41" t="s">
        <v>518</v>
      </c>
      <c r="AJ22" s="42" t="str">
        <f t="shared" si="23"/>
        <v xml:space="preserve">Penetration rates are high in the initial immediate market area (16-30%). </v>
      </c>
      <c r="AK22" s="42" t="str">
        <f t="shared" si="23"/>
        <v xml:space="preserve">Penetration rates are high in the initial immediate market area (16-30%). </v>
      </c>
      <c r="AL22" s="42" t="str">
        <f t="shared" si="23"/>
        <v xml:space="preserve">Penetration rates are high in the initial immediate market area (16-30%). </v>
      </c>
      <c r="AM22" s="42" t="str">
        <f t="shared" si="23"/>
        <v xml:space="preserve">Penetration rates are high in the initial immediate market area (16-30%). </v>
      </c>
      <c r="AN22" s="42" t="str">
        <f t="shared" si="23"/>
        <v xml:space="preserve">Penetration rates are high in the initial immediate market area (16-30%). </v>
      </c>
      <c r="AO22" s="42" t="str">
        <f t="shared" si="23"/>
        <v xml:space="preserve">Penetration rates are high in the initial immediate market area (16-30%). </v>
      </c>
      <c r="AP22" s="42" t="str">
        <f t="shared" si="23"/>
        <v xml:space="preserve">Penetration rates are high in the initial immediate market area (16-30%). </v>
      </c>
      <c r="AQ22" s="42" t="str">
        <f t="shared" si="23"/>
        <v xml:space="preserve">Penetration rates are high in the initial immediate market area (16-30%). </v>
      </c>
      <c r="AR22" s="42" t="str">
        <f t="shared" si="23"/>
        <v xml:space="preserve">Penetration rates are high in the initial immediate market area (16-30%). </v>
      </c>
      <c r="AS22" s="42" t="s">
        <v>519</v>
      </c>
      <c r="AT22" s="43" t="str">
        <f t="shared" si="24"/>
        <v xml:space="preserve">Market penetration increase far beyond the initial immediate market area and target groups (31-55%). </v>
      </c>
      <c r="AU22" s="43" t="str">
        <f t="shared" si="24"/>
        <v xml:space="preserve">Market penetration increase far beyond the initial immediate market area and target groups (31-55%). </v>
      </c>
      <c r="AV22" s="43" t="str">
        <f t="shared" si="24"/>
        <v xml:space="preserve">Market penetration increase far beyond the initial immediate market area and target groups (31-55%). </v>
      </c>
      <c r="AW22" s="43" t="str">
        <f t="shared" si="24"/>
        <v xml:space="preserve">Market penetration increase far beyond the initial immediate market area and target groups (31-55%). </v>
      </c>
      <c r="AX22" s="43" t="str">
        <f t="shared" si="24"/>
        <v xml:space="preserve">Market penetration increase far beyond the initial immediate market area and target groups (31-55%). </v>
      </c>
      <c r="AY22" s="43" t="str">
        <f t="shared" si="24"/>
        <v xml:space="preserve">Market penetration increase far beyond the initial immediate market area and target groups (31-55%). </v>
      </c>
      <c r="AZ22" s="43" t="str">
        <f t="shared" si="24"/>
        <v xml:space="preserve">Market penetration increase far beyond the initial immediate market area and target groups (31-55%). </v>
      </c>
      <c r="BA22" s="43" t="str">
        <f t="shared" si="24"/>
        <v xml:space="preserve">Market penetration increase far beyond the initial immediate market area and target groups (31-55%). </v>
      </c>
      <c r="BB22" s="43" t="str">
        <f t="shared" si="24"/>
        <v xml:space="preserve">Market penetration increase far beyond the initial immediate market area and target groups (31-55%). </v>
      </c>
      <c r="BC22" s="43" t="s">
        <v>520</v>
      </c>
      <c r="BD22" s="244"/>
      <c r="BE22" s="39" t="str">
        <f t="shared" si="25"/>
        <v>Part des clients potentiels possédant le produit/service.</v>
      </c>
      <c r="BF22" s="39" t="str">
        <f t="shared" si="25"/>
        <v>Part des clients potentiels possédant le produit/service.</v>
      </c>
      <c r="BG22" s="39" t="str">
        <f t="shared" si="25"/>
        <v>Part des clients potentiels possédant le produit/service.</v>
      </c>
      <c r="BH22" s="39" t="str">
        <f t="shared" si="25"/>
        <v>Part des clients potentiels possédant le produit/service.</v>
      </c>
      <c r="BI22" s="39" t="str">
        <f t="shared" si="25"/>
        <v>Part des clients potentiels possédant le produit/service.</v>
      </c>
      <c r="BJ22" s="39" t="str">
        <f t="shared" si="25"/>
        <v>Part des clients potentiels possédant le produit/service.</v>
      </c>
      <c r="BK22" s="39" t="str">
        <f t="shared" si="25"/>
        <v>Part des clients potentiels possédant le produit/service.</v>
      </c>
      <c r="BL22" s="39" t="str">
        <f t="shared" si="25"/>
        <v>Part des clients potentiels possédant le produit/service.</v>
      </c>
      <c r="BM22" s="39" t="str">
        <f t="shared" si="25"/>
        <v>Part des clients potentiels possédant le produit/service.</v>
      </c>
      <c r="BN22" s="48" t="s">
        <v>803</v>
      </c>
      <c r="BO22" s="40" t="str">
        <f t="shared" si="26"/>
        <v>Le taux de pénétration du marché est faible (&lt; 5 %), car seuls les innovateurs (2 à 5 % de tous les clients potentiels) ont adopté la technologie.</v>
      </c>
      <c r="BP22" s="40" t="str">
        <f t="shared" si="26"/>
        <v>Le taux de pénétration du marché est faible (&lt; 5 %), car seuls les innovateurs (2 à 5 % de tous les clients potentiels) ont adopté la technologie.</v>
      </c>
      <c r="BQ22" s="40" t="str">
        <f t="shared" si="26"/>
        <v>Le taux de pénétration du marché est faible (&lt; 5 %), car seuls les innovateurs (2 à 5 % de tous les clients potentiels) ont adopté la technologie.</v>
      </c>
      <c r="BR22" s="40" t="str">
        <f t="shared" si="26"/>
        <v>Le taux de pénétration du marché est faible (&lt; 5 %), car seuls les innovateurs (2 à 5 % de tous les clients potentiels) ont adopté la technologie.</v>
      </c>
      <c r="BS22" s="40" t="str">
        <f t="shared" si="26"/>
        <v>Le taux de pénétration du marché est faible (&lt; 5 %), car seuls les innovateurs (2 à 5 % de tous les clients potentiels) ont adopté la technologie.</v>
      </c>
      <c r="BT22" s="40" t="str">
        <f t="shared" si="26"/>
        <v>Le taux de pénétration du marché est faible (&lt; 5 %), car seuls les innovateurs (2 à 5 % de tous les clients potentiels) ont adopté la technologie.</v>
      </c>
      <c r="BU22" s="40" t="str">
        <f t="shared" si="26"/>
        <v>Le taux de pénétration du marché est faible (&lt; 5 %), car seuls les innovateurs (2 à 5 % de tous les clients potentiels) ont adopté la technologie.</v>
      </c>
      <c r="BV22" s="40" t="str">
        <f t="shared" si="26"/>
        <v>Le taux de pénétration du marché est faible (&lt; 5 %), car seuls les innovateurs (2 à 5 % de tous les clients potentiels) ont adopté la technologie.</v>
      </c>
      <c r="BW22" s="40" t="str">
        <f t="shared" si="26"/>
        <v>Le taux de pénétration du marché est faible (&lt; 5 %), car seuls les innovateurs (2 à 5 % de tous les clients potentiels) ont adopté la technologie.</v>
      </c>
      <c r="BX22" s="40" t="s">
        <v>871</v>
      </c>
      <c r="BY22" s="41" t="str">
        <f t="shared" si="27"/>
        <v xml:space="preserve">Le taux de pénétration du marché augmente (6-15 %), d'abord dans les régions où se trouve l'offre. </v>
      </c>
      <c r="BZ22" s="41" t="str">
        <f t="shared" si="27"/>
        <v xml:space="preserve">Le taux de pénétration du marché augmente (6-15 %), d'abord dans les régions où se trouve l'offre. </v>
      </c>
      <c r="CA22" s="41" t="str">
        <f t="shared" si="27"/>
        <v xml:space="preserve">Le taux de pénétration du marché augmente (6-15 %), d'abord dans les régions où se trouve l'offre. </v>
      </c>
      <c r="CB22" s="41" t="str">
        <f t="shared" si="27"/>
        <v xml:space="preserve">Le taux de pénétration du marché augmente (6-15 %), d'abord dans les régions où se trouve l'offre. </v>
      </c>
      <c r="CC22" s="41" t="str">
        <f t="shared" si="27"/>
        <v xml:space="preserve">Le taux de pénétration du marché augmente (6-15 %), d'abord dans les régions où se trouve l'offre. </v>
      </c>
      <c r="CD22" s="41" t="str">
        <f t="shared" si="27"/>
        <v xml:space="preserve">Le taux de pénétration du marché augmente (6-15 %), d'abord dans les régions où se trouve l'offre. </v>
      </c>
      <c r="CE22" s="41" t="str">
        <f t="shared" si="27"/>
        <v xml:space="preserve">Le taux de pénétration du marché augmente (6-15 %), d'abord dans les régions où se trouve l'offre. </v>
      </c>
      <c r="CF22" s="41" t="str">
        <f t="shared" si="27"/>
        <v xml:space="preserve">Le taux de pénétration du marché augmente (6-15 %), d'abord dans les régions où se trouve l'offre. </v>
      </c>
      <c r="CG22" s="41" t="str">
        <f t="shared" si="27"/>
        <v xml:space="preserve">Le taux de pénétration du marché augmente (6-15 %), d'abord dans les régions où se trouve l'offre. </v>
      </c>
      <c r="CH22" s="41" t="s">
        <v>917</v>
      </c>
      <c r="CI22" s="42" t="str">
        <f t="shared" si="28"/>
        <v xml:space="preserve">Les taux de pénétration sont élevés dans la zone initiale du marché immédiat (16-30%). </v>
      </c>
      <c r="CJ22" s="42" t="str">
        <f t="shared" si="28"/>
        <v xml:space="preserve">Les taux de pénétration sont élevés dans la zone initiale du marché immédiat (16-30%). </v>
      </c>
      <c r="CK22" s="42" t="str">
        <f t="shared" si="28"/>
        <v xml:space="preserve">Les taux de pénétration sont élevés dans la zone initiale du marché immédiat (16-30%). </v>
      </c>
      <c r="CL22" s="42" t="str">
        <f t="shared" si="28"/>
        <v xml:space="preserve">Les taux de pénétration sont élevés dans la zone initiale du marché immédiat (16-30%). </v>
      </c>
      <c r="CM22" s="42" t="str">
        <f t="shared" si="28"/>
        <v xml:space="preserve">Les taux de pénétration sont élevés dans la zone initiale du marché immédiat (16-30%). </v>
      </c>
      <c r="CN22" s="42" t="str">
        <f t="shared" si="28"/>
        <v xml:space="preserve">Les taux de pénétration sont élevés dans la zone initiale du marché immédiat (16-30%). </v>
      </c>
      <c r="CO22" s="42" t="str">
        <f t="shared" si="28"/>
        <v xml:space="preserve">Les taux de pénétration sont élevés dans la zone initiale du marché immédiat (16-30%). </v>
      </c>
      <c r="CP22" s="42" t="str">
        <f t="shared" si="28"/>
        <v xml:space="preserve">Les taux de pénétration sont élevés dans la zone initiale du marché immédiat (16-30%). </v>
      </c>
      <c r="CQ22" s="42" t="str">
        <f t="shared" si="28"/>
        <v xml:space="preserve">Les taux de pénétration sont élevés dans la zone initiale du marché immédiat (16-30%). </v>
      </c>
      <c r="CR22" s="42" t="s">
        <v>954</v>
      </c>
      <c r="CS22" s="43" t="str">
        <f t="shared" si="29"/>
        <v xml:space="preserve">Le marché actuel est arrivée bien au-delà de la zone initiale du marché immédiat et des groupes cibles immédiates (31-55%). </v>
      </c>
      <c r="CT22" s="43" t="str">
        <f t="shared" si="29"/>
        <v xml:space="preserve">Le marché actuel est arrivée bien au-delà de la zone initiale du marché immédiat et des groupes cibles immédiates (31-55%). </v>
      </c>
      <c r="CU22" s="43" t="str">
        <f t="shared" si="29"/>
        <v xml:space="preserve">Le marché actuel est arrivée bien au-delà de la zone initiale du marché immédiat et des groupes cibles immédiates (31-55%). </v>
      </c>
      <c r="CV22" s="43" t="str">
        <f t="shared" si="29"/>
        <v xml:space="preserve">Le marché actuel est arrivée bien au-delà de la zone initiale du marché immédiat et des groupes cibles immédiates (31-55%). </v>
      </c>
      <c r="CW22" s="43" t="str">
        <f t="shared" si="29"/>
        <v xml:space="preserve">Le marché actuel est arrivée bien au-delà de la zone initiale du marché immédiat et des groupes cibles immédiates (31-55%). </v>
      </c>
      <c r="CX22" s="43" t="str">
        <f t="shared" si="29"/>
        <v xml:space="preserve">Le marché actuel est arrivée bien au-delà de la zone initiale du marché immédiat et des groupes cibles immédiates (31-55%). </v>
      </c>
      <c r="CY22" s="43" t="str">
        <f t="shared" si="29"/>
        <v xml:space="preserve">Le marché actuel est arrivée bien au-delà de la zone initiale du marché immédiat et des groupes cibles immédiates (31-55%). </v>
      </c>
      <c r="CZ22" s="43" t="str">
        <f t="shared" si="29"/>
        <v xml:space="preserve">Le marché actuel est arrivée bien au-delà de la zone initiale du marché immédiat et des groupes cibles immédiates (31-55%). </v>
      </c>
      <c r="DA22" s="43" t="str">
        <f t="shared" si="29"/>
        <v xml:space="preserve">Le marché actuel est arrivée bien au-delà de la zone initiale du marché immédiat et des groupes cibles immédiates (31-55%). </v>
      </c>
      <c r="DB22" s="43" t="s">
        <v>1008</v>
      </c>
      <c r="DC22" s="441"/>
    </row>
    <row r="23" spans="1:107" ht="80.099999999999994" customHeight="1" thickTop="1" thickBot="1" x14ac:dyDescent="0.25">
      <c r="A23" s="244"/>
      <c r="B23" s="543"/>
      <c r="C23" s="49" t="s">
        <v>159</v>
      </c>
      <c r="D23" s="49" t="s">
        <v>15</v>
      </c>
      <c r="E23" s="48" t="s">
        <v>160</v>
      </c>
      <c r="F23" s="39" t="str">
        <f t="shared" si="20"/>
        <v>The maximum amount of money the average person is willing to pay for the product or service.</v>
      </c>
      <c r="G23" s="39" t="str">
        <f t="shared" si="20"/>
        <v>The maximum amount of money the average person is willing to pay for the product or service.</v>
      </c>
      <c r="H23" s="39" t="str">
        <f t="shared" si="20"/>
        <v>The maximum amount of money the average person is willing to pay for the product or service.</v>
      </c>
      <c r="I23" s="39" t="str">
        <f t="shared" si="20"/>
        <v>The maximum amount of money the average person is willing to pay for the product or service.</v>
      </c>
      <c r="J23" s="39" t="str">
        <f t="shared" si="20"/>
        <v>The maximum amount of money the average person is willing to pay for the product or service.</v>
      </c>
      <c r="K23" s="39" t="str">
        <f t="shared" si="20"/>
        <v>The maximum amount of money the average person is willing to pay for the product or service.</v>
      </c>
      <c r="L23" s="39" t="str">
        <f t="shared" si="20"/>
        <v>The maximum amount of money the average person is willing to pay for the product or service.</v>
      </c>
      <c r="M23" s="39" t="str">
        <f t="shared" si="20"/>
        <v>The maximum amount of money the average person is willing to pay for the product or service.</v>
      </c>
      <c r="N23" s="39" t="str">
        <f t="shared" si="20"/>
        <v>The maximum amount of money the average person is willing to pay for the product or service.</v>
      </c>
      <c r="O23" s="48" t="s">
        <v>521</v>
      </c>
      <c r="P23" s="40" t="str">
        <f t="shared" si="21"/>
        <v>No willingness to pay is paired with low ability to pay.</v>
      </c>
      <c r="Q23" s="40" t="str">
        <f t="shared" si="21"/>
        <v>No willingness to pay is paired with low ability to pay.</v>
      </c>
      <c r="R23" s="40" t="str">
        <f t="shared" si="21"/>
        <v>No willingness to pay is paired with low ability to pay.</v>
      </c>
      <c r="S23" s="40" t="str">
        <f t="shared" si="21"/>
        <v>No willingness to pay is paired with low ability to pay.</v>
      </c>
      <c r="T23" s="40" t="s">
        <v>702</v>
      </c>
      <c r="U23" s="40" t="str">
        <f t="shared" si="21"/>
        <v>No willingness to pay is paired with low ability to pay.</v>
      </c>
      <c r="V23" s="40" t="str">
        <f t="shared" si="21"/>
        <v>No willingness to pay is paired with low ability to pay.</v>
      </c>
      <c r="W23" s="40" t="str">
        <f t="shared" si="21"/>
        <v>No willingness to pay is paired with low ability to pay.</v>
      </c>
      <c r="X23" s="40" t="str">
        <f t="shared" si="21"/>
        <v>No willingness to pay is paired with low ability to pay.</v>
      </c>
      <c r="Y23" s="40" t="s">
        <v>522</v>
      </c>
      <c r="Z23" s="41" t="str">
        <f t="shared" si="22"/>
        <v>Willingness to pay increases as consumers get to know the product/service, but willingness is low for quality products.</v>
      </c>
      <c r="AA23" s="41" t="str">
        <f t="shared" si="22"/>
        <v>Willingness to pay increases as consumers get to know the product/service, but willingness is low for quality products.</v>
      </c>
      <c r="AB23" s="41" t="str">
        <f t="shared" si="22"/>
        <v>Willingness to pay increases as consumers get to know the product/service, but willingness is low for quality products.</v>
      </c>
      <c r="AC23" s="41" t="str">
        <f t="shared" si="22"/>
        <v>Willingness to pay increases as consumers get to know the product/service, but willingness is low for quality products.</v>
      </c>
      <c r="AD23" s="41" t="str">
        <f t="shared" si="22"/>
        <v>Willingness to pay increases as consumers get to know the product/service, but willingness is low for quality products.</v>
      </c>
      <c r="AE23" s="41" t="str">
        <f t="shared" si="22"/>
        <v>Willingness to pay increases as consumers get to know the product/service, but willingness is low for quality products.</v>
      </c>
      <c r="AF23" s="41" t="str">
        <f t="shared" si="22"/>
        <v>Willingness to pay increases as consumers get to know the product/service, but willingness is low for quality products.</v>
      </c>
      <c r="AG23" s="41" t="str">
        <f t="shared" si="22"/>
        <v>Willingness to pay increases as consumers get to know the product/service, but willingness is low for quality products.</v>
      </c>
      <c r="AH23" s="41" t="str">
        <f t="shared" si="22"/>
        <v>Willingness to pay increases as consumers get to know the product/service, but willingness is low for quality products.</v>
      </c>
      <c r="AI23" s="41" t="s">
        <v>523</v>
      </c>
      <c r="AJ23" s="42" t="str">
        <f t="shared" si="23"/>
        <v>As product/service diversity increases, more customers with different willingness to pay are reached.</v>
      </c>
      <c r="AK23" s="42" t="str">
        <f t="shared" si="23"/>
        <v>As product/service diversity increases, more customers with different willingness to pay are reached.</v>
      </c>
      <c r="AL23" s="42" t="str">
        <f t="shared" si="23"/>
        <v>As product/service diversity increases, more customers with different willingness to pay are reached.</v>
      </c>
      <c r="AM23" s="42" t="str">
        <f t="shared" si="23"/>
        <v>As product/service diversity increases, more customers with different willingness to pay are reached.</v>
      </c>
      <c r="AN23" s="42" t="str">
        <f t="shared" si="23"/>
        <v>As product/service diversity increases, more customers with different willingness to pay are reached.</v>
      </c>
      <c r="AO23" s="42" t="str">
        <f t="shared" si="23"/>
        <v>As product/service diversity increases, more customers with different willingness to pay are reached.</v>
      </c>
      <c r="AP23" s="42" t="str">
        <f t="shared" si="23"/>
        <v>As product/service diversity increases, more customers with different willingness to pay are reached.</v>
      </c>
      <c r="AQ23" s="42" t="str">
        <f t="shared" si="23"/>
        <v>As product/service diversity increases, more customers with different willingness to pay are reached.</v>
      </c>
      <c r="AR23" s="42" t="str">
        <f t="shared" si="23"/>
        <v>As product/service diversity increases, more customers with different willingness to pay are reached.</v>
      </c>
      <c r="AS23" s="42" t="s">
        <v>524</v>
      </c>
      <c r="AT23" s="43" t="str">
        <f t="shared" si="24"/>
        <v>Customers are willing to pay the price set by businesses, because customers value the product/service.</v>
      </c>
      <c r="AU23" s="43" t="str">
        <f t="shared" si="24"/>
        <v>Customers are willing to pay the price set by businesses, because customers value the product/service.</v>
      </c>
      <c r="AV23" s="43" t="str">
        <f t="shared" si="24"/>
        <v>Customers are willing to pay the price set by businesses, because customers value the product/service.</v>
      </c>
      <c r="AW23" s="43" t="str">
        <f t="shared" si="24"/>
        <v>Customers are willing to pay the price set by businesses, because customers value the product/service.</v>
      </c>
      <c r="AX23" s="43" t="str">
        <f t="shared" si="24"/>
        <v>Customers are willing to pay the price set by businesses, because customers value the product/service.</v>
      </c>
      <c r="AY23" s="43" t="str">
        <f t="shared" si="24"/>
        <v>Customers are willing to pay the price set by businesses, because customers value the product/service.</v>
      </c>
      <c r="AZ23" s="43" t="str">
        <f t="shared" si="24"/>
        <v>Customers are willing to pay the price set by businesses, because customers value the product/service.</v>
      </c>
      <c r="BA23" s="43" t="str">
        <f t="shared" si="24"/>
        <v>Customers are willing to pay the price set by businesses, because customers value the product/service.</v>
      </c>
      <c r="BB23" s="43" t="str">
        <f t="shared" si="24"/>
        <v>Customers are willing to pay the price set by businesses, because customers value the product/service.</v>
      </c>
      <c r="BC23" s="43" t="s">
        <v>525</v>
      </c>
      <c r="BD23" s="244"/>
      <c r="BE23" s="39" t="str">
        <f t="shared" si="25"/>
        <v>Montant maximal que l'individu moyen est prêt à payer pour le produit ou le service.</v>
      </c>
      <c r="BF23" s="39" t="str">
        <f t="shared" si="25"/>
        <v>Montant maximal que l'individu moyen est prêt à payer pour le produit ou le service.</v>
      </c>
      <c r="BG23" s="39" t="str">
        <f t="shared" si="25"/>
        <v>Montant maximal que l'individu moyen est prêt à payer pour le produit ou le service.</v>
      </c>
      <c r="BH23" s="39" t="str">
        <f t="shared" si="25"/>
        <v>Montant maximal que l'individu moyen est prêt à payer pour le produit ou le service.</v>
      </c>
      <c r="BI23" s="39" t="str">
        <f t="shared" si="25"/>
        <v>Montant maximal que l'individu moyen est prêt à payer pour le produit ou le service.</v>
      </c>
      <c r="BJ23" s="39" t="str">
        <f t="shared" si="25"/>
        <v>Montant maximal que l'individu moyen est prêt à payer pour le produit ou le service.</v>
      </c>
      <c r="BK23" s="39" t="str">
        <f t="shared" si="25"/>
        <v>Montant maximal que l'individu moyen est prêt à payer pour le produit ou le service.</v>
      </c>
      <c r="BL23" s="39" t="str">
        <f t="shared" si="25"/>
        <v>Montant maximal que l'individu moyen est prêt à payer pour le produit ou le service.</v>
      </c>
      <c r="BM23" s="39" t="str">
        <f t="shared" si="25"/>
        <v>Montant maximal que l'individu moyen est prêt à payer pour le produit ou le service.</v>
      </c>
      <c r="BN23" s="48" t="s">
        <v>804</v>
      </c>
      <c r="BO23" s="40" t="str">
        <f t="shared" si="26"/>
        <v>L'absence de volonté de payer est associée par une faible capacité de payer.</v>
      </c>
      <c r="BP23" s="40" t="str">
        <f t="shared" si="26"/>
        <v>L'absence de volonté de payer est associée par une faible capacité de payer.</v>
      </c>
      <c r="BQ23" s="40" t="str">
        <f t="shared" si="26"/>
        <v>L'absence de volonté de payer est associée par une faible capacité de payer.</v>
      </c>
      <c r="BR23" s="40" t="str">
        <f t="shared" si="26"/>
        <v>L'absence de volonté de payer est associée par une faible capacité de payer.</v>
      </c>
      <c r="BS23" s="40" t="str">
        <f t="shared" si="26"/>
        <v>L'absence de volonté de payer est associée par une faible capacité de payer.</v>
      </c>
      <c r="BT23" s="40" t="str">
        <f t="shared" si="26"/>
        <v>L'absence de volonté de payer est associée par une faible capacité de payer.</v>
      </c>
      <c r="BU23" s="40" t="str">
        <f t="shared" si="26"/>
        <v>L'absence de volonté de payer est associée par une faible capacité de payer.</v>
      </c>
      <c r="BV23" s="40" t="str">
        <f t="shared" si="26"/>
        <v>L'absence de volonté de payer est associée par une faible capacité de payer.</v>
      </c>
      <c r="BW23" s="40" t="str">
        <f t="shared" si="26"/>
        <v>L'absence de volonté de payer est associée par une faible capacité de payer.</v>
      </c>
      <c r="BX23" s="40" t="s">
        <v>872</v>
      </c>
      <c r="BY23" s="41" t="str">
        <f t="shared" si="27"/>
        <v>La volonté de payer augmente à mesure que les consommateurs apprennent à connaître le produit/service, mais cette volonté est faible pour les produits de qualité.</v>
      </c>
      <c r="BZ23" s="41" t="str">
        <f t="shared" si="27"/>
        <v>La volonté de payer augmente à mesure que les consommateurs apprennent à connaître le produit/service, mais cette volonté est faible pour les produits de qualité.</v>
      </c>
      <c r="CA23" s="41" t="str">
        <f t="shared" si="27"/>
        <v>La volonté de payer augmente à mesure que les consommateurs apprennent à connaître le produit/service, mais cette volonté est faible pour les produits de qualité.</v>
      </c>
      <c r="CB23" s="41" t="str">
        <f t="shared" si="27"/>
        <v>La volonté de payer augmente à mesure que les consommateurs apprennent à connaître le produit/service, mais cette volonté est faible pour les produits de qualité.</v>
      </c>
      <c r="CC23" s="41" t="str">
        <f t="shared" si="27"/>
        <v>La volonté de payer augmente à mesure que les consommateurs apprennent à connaître le produit/service, mais cette volonté est faible pour les produits de qualité.</v>
      </c>
      <c r="CD23" s="41" t="str">
        <f t="shared" si="27"/>
        <v>La volonté de payer augmente à mesure que les consommateurs apprennent à connaître le produit/service, mais cette volonté est faible pour les produits de qualité.</v>
      </c>
      <c r="CE23" s="41" t="str">
        <f t="shared" si="27"/>
        <v>La volonté de payer augmente à mesure que les consommateurs apprennent à connaître le produit/service, mais cette volonté est faible pour les produits de qualité.</v>
      </c>
      <c r="CF23" s="41" t="str">
        <f t="shared" si="27"/>
        <v>La volonté de payer augmente à mesure que les consommateurs apprennent à connaître le produit/service, mais cette volonté est faible pour les produits de qualité.</v>
      </c>
      <c r="CG23" s="41" t="str">
        <f t="shared" si="27"/>
        <v>La volonté de payer augmente à mesure que les consommateurs apprennent à connaître le produit/service, mais cette volonté est faible pour les produits de qualité.</v>
      </c>
      <c r="CH23" s="41" t="s">
        <v>919</v>
      </c>
      <c r="CI23" s="42" t="str">
        <f t="shared" si="28"/>
        <v>Au fur et à mesure que le choix de produits/services augmente, plus de clients sont touchés. La disposition à payer varie beaucoup entre segments.</v>
      </c>
      <c r="CJ23" s="42" t="str">
        <f t="shared" si="28"/>
        <v>Au fur et à mesure que le choix de produits/services augmente, plus de clients sont touchés. La disposition à payer varie beaucoup entre segments.</v>
      </c>
      <c r="CK23" s="42" t="str">
        <f t="shared" si="28"/>
        <v>Au fur et à mesure que le choix de produits/services augmente, plus de clients sont touchés. La disposition à payer varie beaucoup entre segments.</v>
      </c>
      <c r="CL23" s="42" t="str">
        <f t="shared" si="28"/>
        <v>Au fur et à mesure que le choix de produits/services augmente, plus de clients sont touchés. La disposition à payer varie beaucoup entre segments.</v>
      </c>
      <c r="CM23" s="42" t="str">
        <f t="shared" si="28"/>
        <v>Au fur et à mesure que le choix de produits/services augmente, plus de clients sont touchés. La disposition à payer varie beaucoup entre segments.</v>
      </c>
      <c r="CN23" s="42" t="str">
        <f t="shared" si="28"/>
        <v>Au fur et à mesure que le choix de produits/services augmente, plus de clients sont touchés. La disposition à payer varie beaucoup entre segments.</v>
      </c>
      <c r="CO23" s="42" t="str">
        <f t="shared" si="28"/>
        <v>Au fur et à mesure que le choix de produits/services augmente, plus de clients sont touchés. La disposition à payer varie beaucoup entre segments.</v>
      </c>
      <c r="CP23" s="42" t="str">
        <f t="shared" si="28"/>
        <v>Au fur et à mesure que le choix de produits/services augmente, plus de clients sont touchés. La disposition à payer varie beaucoup entre segments.</v>
      </c>
      <c r="CQ23" s="42" t="str">
        <f t="shared" si="28"/>
        <v>Au fur et à mesure que le choix de produits/services augmente, plus de clients sont touchés. La disposition à payer varie beaucoup entre segments.</v>
      </c>
      <c r="CR23" s="42" t="s">
        <v>955</v>
      </c>
      <c r="CS23" s="43" t="str">
        <f t="shared" si="29"/>
        <v>Les clients sont prêts à payer le prix fixé par les entreprises, car ils apprécient le produit/service.</v>
      </c>
      <c r="CT23" s="43" t="str">
        <f t="shared" si="29"/>
        <v>Les clients sont prêts à payer le prix fixé par les entreprises, car ils apprécient le produit/service.</v>
      </c>
      <c r="CU23" s="43" t="str">
        <f t="shared" si="29"/>
        <v>Les clients sont prêts à payer le prix fixé par les entreprises, car ils apprécient le produit/service.</v>
      </c>
      <c r="CV23" s="43" t="str">
        <f t="shared" si="29"/>
        <v>Les clients sont prêts à payer le prix fixé par les entreprises, car ils apprécient le produit/service.</v>
      </c>
      <c r="CW23" s="43" t="str">
        <f t="shared" si="29"/>
        <v>Les clients sont prêts à payer le prix fixé par les entreprises, car ils apprécient le produit/service.</v>
      </c>
      <c r="CX23" s="43" t="str">
        <f t="shared" si="29"/>
        <v>Les clients sont prêts à payer le prix fixé par les entreprises, car ils apprécient le produit/service.</v>
      </c>
      <c r="CY23" s="43" t="str">
        <f t="shared" si="29"/>
        <v>Les clients sont prêts à payer le prix fixé par les entreprises, car ils apprécient le produit/service.</v>
      </c>
      <c r="CZ23" s="43" t="str">
        <f t="shared" si="29"/>
        <v>Les clients sont prêts à payer le prix fixé par les entreprises, car ils apprécient le produit/service.</v>
      </c>
      <c r="DA23" s="43" t="str">
        <f t="shared" si="29"/>
        <v>Les clients sont prêts à payer le prix fixé par les entreprises, car ils apprécient le produit/service.</v>
      </c>
      <c r="DB23" s="43" t="s">
        <v>983</v>
      </c>
      <c r="DC23" s="441"/>
    </row>
    <row r="24" spans="1:107" ht="80.099999999999994" customHeight="1" thickTop="1" thickBot="1" x14ac:dyDescent="0.25">
      <c r="A24" s="244"/>
      <c r="B24" s="543"/>
      <c r="C24" s="49" t="s">
        <v>161</v>
      </c>
      <c r="D24" s="49" t="s">
        <v>16</v>
      </c>
      <c r="E24" s="48" t="s">
        <v>162</v>
      </c>
      <c r="F24" s="39" t="str">
        <f t="shared" si="20"/>
        <v>The share of systems sold that are used properly and regularly.</v>
      </c>
      <c r="G24" s="39" t="str">
        <f t="shared" si="20"/>
        <v>The share of systems sold that are used properly and regularly.</v>
      </c>
      <c r="H24" s="39" t="str">
        <f t="shared" si="20"/>
        <v>The share of systems sold that are used properly and regularly.</v>
      </c>
      <c r="I24" s="39" t="str">
        <f t="shared" si="20"/>
        <v>The share of systems sold that are used properly and regularly.</v>
      </c>
      <c r="J24" s="48" t="s">
        <v>755</v>
      </c>
      <c r="K24" s="39" t="str">
        <f t="shared" si="20"/>
        <v>The share of systems sold that are used properly and regularly.</v>
      </c>
      <c r="L24" s="39" t="str">
        <f t="shared" si="20"/>
        <v>The share of systems sold that are used properly and regularly.</v>
      </c>
      <c r="M24" s="39" t="str">
        <f t="shared" si="20"/>
        <v>The share of systems sold that are used properly and regularly.</v>
      </c>
      <c r="N24" s="39" t="str">
        <f t="shared" si="20"/>
        <v>The share of systems sold that are used properly and regularly.</v>
      </c>
      <c r="O24" s="48" t="s">
        <v>1041</v>
      </c>
      <c r="P24" s="40" t="str">
        <f t="shared" si="21"/>
        <v>Usage rate is low. Knowledge concerning proper use is informal based on experience</v>
      </c>
      <c r="Q24" s="40" t="str">
        <f t="shared" si="21"/>
        <v>Usage rate is low. Knowledge concerning proper use is informal based on experience</v>
      </c>
      <c r="R24" s="40" t="str">
        <f t="shared" si="21"/>
        <v>Usage rate is low. Knowledge concerning proper use is informal based on experience</v>
      </c>
      <c r="S24" s="40" t="str">
        <f t="shared" si="21"/>
        <v>Usage rate is low. Knowledge concerning proper use is informal based on experience</v>
      </c>
      <c r="T24" s="40" t="s">
        <v>684</v>
      </c>
      <c r="U24" s="40" t="str">
        <f t="shared" si="21"/>
        <v>Usage rate is low. Knowledge concerning proper use is informal based on experience</v>
      </c>
      <c r="V24" s="40" t="str">
        <f t="shared" si="21"/>
        <v>Usage rate is low. Knowledge concerning proper use is informal based on experience</v>
      </c>
      <c r="W24" s="40" t="str">
        <f t="shared" si="21"/>
        <v>Usage rate is low. Knowledge concerning proper use is informal based on experience</v>
      </c>
      <c r="X24" s="40" t="str">
        <f t="shared" si="21"/>
        <v>Usage rate is low. Knowledge concerning proper use is informal based on experience</v>
      </c>
      <c r="Y24" s="40" t="s">
        <v>526</v>
      </c>
      <c r="Z24" s="41" t="str">
        <f t="shared" si="22"/>
        <v>Usage rates starts to increase. Some users know how to use the technology properly.</v>
      </c>
      <c r="AA24" s="41" t="str">
        <f t="shared" si="22"/>
        <v>Usage rates starts to increase. Some users know how to use the technology properly.</v>
      </c>
      <c r="AB24" s="41" t="str">
        <f t="shared" si="22"/>
        <v>Usage rates starts to increase. Some users know how to use the technology properly.</v>
      </c>
      <c r="AC24" s="41" t="str">
        <f t="shared" si="22"/>
        <v>Usage rates starts to increase. Some users know how to use the technology properly.</v>
      </c>
      <c r="AD24" s="41" t="s">
        <v>527</v>
      </c>
      <c r="AE24" s="41" t="str">
        <f t="shared" si="22"/>
        <v>Usage rates starts to increase. Some users know how to use the technology properly.</v>
      </c>
      <c r="AF24" s="41" t="str">
        <f t="shared" si="22"/>
        <v>Usage rates starts to increase. Some users know how to use the technology properly.</v>
      </c>
      <c r="AG24" s="41" t="str">
        <f t="shared" si="22"/>
        <v>Usage rates starts to increase. Some users know how to use the technology properly.</v>
      </c>
      <c r="AH24" s="41" t="str">
        <f t="shared" si="22"/>
        <v>Usage rates starts to increase. Some users know how to use the technology properly.</v>
      </c>
      <c r="AI24" s="41" t="s">
        <v>528</v>
      </c>
      <c r="AJ24" s="42" t="str">
        <f t="shared" si="23"/>
        <v>Higher usage rate. Most users know how to use the technology properly.</v>
      </c>
      <c r="AK24" s="42" t="str">
        <f t="shared" si="23"/>
        <v>Higher usage rate. Most users know how to use the technology properly.</v>
      </c>
      <c r="AL24" s="42" t="str">
        <f t="shared" si="23"/>
        <v>Higher usage rate. Most users know how to use the technology properly.</v>
      </c>
      <c r="AM24" s="42" t="str">
        <f t="shared" si="23"/>
        <v>Higher usage rate. Most users know how to use the technology properly.</v>
      </c>
      <c r="AN24" s="42" t="s">
        <v>529</v>
      </c>
      <c r="AO24" s="42" t="str">
        <f t="shared" si="23"/>
        <v>Higher usage rate. Most users know how to use the technology properly.</v>
      </c>
      <c r="AP24" s="42" t="str">
        <f t="shared" si="23"/>
        <v>Higher usage rate. Most users know how to use the technology properly.</v>
      </c>
      <c r="AQ24" s="42" t="str">
        <f t="shared" si="23"/>
        <v>Higher usage rate. Most users know how to use the technology properly.</v>
      </c>
      <c r="AR24" s="42" t="str">
        <f t="shared" si="23"/>
        <v>Higher usage rate. Most users know how to use the technology properly.</v>
      </c>
      <c r="AS24" s="42" t="s">
        <v>530</v>
      </c>
      <c r="AT24" s="43" t="str">
        <f t="shared" si="24"/>
        <v>Usage rate is close to 100%. Almost all users know how to use the technology properly.</v>
      </c>
      <c r="AU24" s="43" t="str">
        <f t="shared" si="24"/>
        <v>Usage rate is close to 100%. Almost all users know how to use the technology properly.</v>
      </c>
      <c r="AV24" s="43" t="str">
        <f t="shared" si="24"/>
        <v>Usage rate is close to 100%. Almost all users know how to use the technology properly.</v>
      </c>
      <c r="AW24" s="43" t="str">
        <f t="shared" si="24"/>
        <v>Usage rate is close to 100%. Almost all users know how to use the technology properly.</v>
      </c>
      <c r="AX24" s="43" t="s">
        <v>531</v>
      </c>
      <c r="AY24" s="43" t="str">
        <f t="shared" si="24"/>
        <v>Usage rate is close to 100%. Almost all users know how to use the technology properly.</v>
      </c>
      <c r="AZ24" s="43" t="str">
        <f t="shared" si="24"/>
        <v>Usage rate is close to 100%. Almost all users know how to use the technology properly.</v>
      </c>
      <c r="BA24" s="43" t="str">
        <f t="shared" si="24"/>
        <v>Usage rate is close to 100%. Almost all users know how to use the technology properly.</v>
      </c>
      <c r="BB24" s="43" t="str">
        <f t="shared" si="24"/>
        <v>Usage rate is close to 100%. Almost all users know how to use the technology properly.</v>
      </c>
      <c r="BC24" s="43" t="s">
        <v>532</v>
      </c>
      <c r="BD24" s="244"/>
      <c r="BE24" s="39" t="str">
        <f t="shared" si="25"/>
        <v>La part des systèmes vendus qui sont utilisés correctement et régulièrement.</v>
      </c>
      <c r="BF24" s="39" t="str">
        <f t="shared" si="25"/>
        <v>La part des systèmes vendus qui sont utilisés correctement et régulièrement.</v>
      </c>
      <c r="BG24" s="39" t="str">
        <f t="shared" si="25"/>
        <v>La part des systèmes vendus qui sont utilisés correctement et régulièrement.</v>
      </c>
      <c r="BH24" s="39" t="str">
        <f t="shared" si="25"/>
        <v>La part des systèmes vendus qui sont utilisés correctement et régulièrement.</v>
      </c>
      <c r="BI24" s="39" t="s">
        <v>828</v>
      </c>
      <c r="BJ24" s="39" t="str">
        <f t="shared" si="25"/>
        <v>La part des systèmes vendus qui sont utilisés correctement et régulièrement.</v>
      </c>
      <c r="BK24" s="39" t="str">
        <f t="shared" si="25"/>
        <v>La part des systèmes vendus qui sont utilisés correctement et régulièrement.</v>
      </c>
      <c r="BL24" s="39" t="str">
        <f t="shared" si="25"/>
        <v>La part des systèmes vendus qui sont utilisés correctement et régulièrement.</v>
      </c>
      <c r="BM24" s="39" t="str">
        <f t="shared" si="25"/>
        <v>La part des systèmes vendus qui sont utilisés correctement et régulièrement.</v>
      </c>
      <c r="BN24" s="48" t="s">
        <v>805</v>
      </c>
      <c r="BO24" s="40" t="str">
        <f t="shared" si="26"/>
        <v>Le taux d'utilisation est faible. Les connaissances concernant l'utilisation correcte sont informelles et basées sur l'expérience</v>
      </c>
      <c r="BP24" s="40" t="str">
        <f t="shared" si="26"/>
        <v>Le taux d'utilisation est faible. Les connaissances concernant l'utilisation correcte sont informelles et basées sur l'expérience</v>
      </c>
      <c r="BQ24" s="40" t="str">
        <f t="shared" si="26"/>
        <v>Le taux d'utilisation est faible. Les connaissances concernant l'utilisation correcte sont informelles et basées sur l'expérience</v>
      </c>
      <c r="BR24" s="40" t="str">
        <f t="shared" si="26"/>
        <v>Le taux d'utilisation est faible. Les connaissances concernant l'utilisation correcte sont informelles et basées sur l'expérience</v>
      </c>
      <c r="BS24" s="40" t="str">
        <f t="shared" si="26"/>
        <v>Le taux d'utilisation est faible. Les connaissances concernant l'utilisation correcte sont informelles et basées sur l'expérience</v>
      </c>
      <c r="BT24" s="40" t="str">
        <f t="shared" si="26"/>
        <v>Le taux d'utilisation est faible. Les connaissances concernant l'utilisation correcte sont informelles et basées sur l'expérience</v>
      </c>
      <c r="BU24" s="40" t="str">
        <f t="shared" si="26"/>
        <v>Le taux d'utilisation est faible. Les connaissances concernant l'utilisation correcte sont informelles et basées sur l'expérience</v>
      </c>
      <c r="BV24" s="40" t="str">
        <f t="shared" si="26"/>
        <v>Le taux d'utilisation est faible. Les connaissances concernant l'utilisation correcte sont informelles et basées sur l'expérience</v>
      </c>
      <c r="BW24" s="40" t="str">
        <f t="shared" si="26"/>
        <v>Le taux d'utilisation est faible. Les connaissances concernant l'utilisation correcte sont informelles et basées sur l'expérience</v>
      </c>
      <c r="BX24" s="40" t="s">
        <v>873</v>
      </c>
      <c r="BY24" s="41" t="str">
        <f t="shared" si="27"/>
        <v>Les taux d'utilisation commencent à augmenter. Certains utilisateurs savent comment utiliser correctement la technologie.</v>
      </c>
      <c r="BZ24" s="41" t="str">
        <f t="shared" si="27"/>
        <v>Les taux d'utilisation commencent à augmenter. Certains utilisateurs savent comment utiliser correctement la technologie.</v>
      </c>
      <c r="CA24" s="41" t="str">
        <f t="shared" si="27"/>
        <v>Les taux d'utilisation commencent à augmenter. Certains utilisateurs savent comment utiliser correctement la technologie.</v>
      </c>
      <c r="CB24" s="41" t="str">
        <f t="shared" si="27"/>
        <v>Les taux d'utilisation commencent à augmenter. Certains utilisateurs savent comment utiliser correctement la technologie.</v>
      </c>
      <c r="CC24" s="41" t="s">
        <v>921</v>
      </c>
      <c r="CD24" s="41" t="str">
        <f t="shared" si="27"/>
        <v>Les taux d'utilisation commencent à augmenter. Certains utilisateurs savent comment utiliser correctement la technologie.</v>
      </c>
      <c r="CE24" s="41" t="str">
        <f t="shared" si="27"/>
        <v>Les taux d'utilisation commencent à augmenter. Certains utilisateurs savent comment utiliser correctement la technologie.</v>
      </c>
      <c r="CF24" s="41" t="str">
        <f t="shared" si="27"/>
        <v>Les taux d'utilisation commencent à augmenter. Certains utilisateurs savent comment utiliser correctement la technologie.</v>
      </c>
      <c r="CG24" s="41" t="str">
        <f t="shared" si="27"/>
        <v>Les taux d'utilisation commencent à augmenter. Certains utilisateurs savent comment utiliser correctement la technologie.</v>
      </c>
      <c r="CH24" s="41" t="s">
        <v>920</v>
      </c>
      <c r="CI24" s="42" t="str">
        <f t="shared" si="28"/>
        <v>Taux d'utilisation plus élevé. La plupart des utilisateurs savent comment utiliser correctement la technologie.</v>
      </c>
      <c r="CJ24" s="42" t="str">
        <f t="shared" si="28"/>
        <v>Taux d'utilisation plus élevé. La plupart des utilisateurs savent comment utiliser correctement la technologie.</v>
      </c>
      <c r="CK24" s="42" t="str">
        <f t="shared" si="28"/>
        <v>Taux d'utilisation plus élevé. La plupart des utilisateurs savent comment utiliser correctement la technologie.</v>
      </c>
      <c r="CL24" s="42" t="str">
        <f t="shared" si="28"/>
        <v>Taux d'utilisation plus élevé. La plupart des utilisateurs savent comment utiliser correctement la technologie.</v>
      </c>
      <c r="CM24" s="42" t="s">
        <v>975</v>
      </c>
      <c r="CN24" s="42" t="str">
        <f t="shared" si="28"/>
        <v>Taux d'utilisation plus élevé. La plupart des utilisateurs savent comment utiliser correctement la technologie.</v>
      </c>
      <c r="CO24" s="42" t="str">
        <f t="shared" si="28"/>
        <v>Taux d'utilisation plus élevé. La plupart des utilisateurs savent comment utiliser correctement la technologie.</v>
      </c>
      <c r="CP24" s="42" t="str">
        <f t="shared" si="28"/>
        <v>Taux d'utilisation plus élevé. La plupart des utilisateurs savent comment utiliser correctement la technologie.</v>
      </c>
      <c r="CQ24" s="42" t="str">
        <f t="shared" si="28"/>
        <v>Taux d'utilisation plus élevé. La plupart des utilisateurs savent comment utiliser correctement la technologie.</v>
      </c>
      <c r="CR24" s="42" t="s">
        <v>956</v>
      </c>
      <c r="CS24" s="43" t="str">
        <f t="shared" si="29"/>
        <v>Le taux d'utilisation est proche de 100 %. Presque tous les utilisateurs savent comment utiliser correctement la technologie.</v>
      </c>
      <c r="CT24" s="43" t="str">
        <f t="shared" si="29"/>
        <v>Le taux d'utilisation est proche de 100 %. Presque tous les utilisateurs savent comment utiliser correctement la technologie.</v>
      </c>
      <c r="CU24" s="43" t="str">
        <f t="shared" si="29"/>
        <v>Le taux d'utilisation est proche de 100 %. Presque tous les utilisateurs savent comment utiliser correctement la technologie.</v>
      </c>
      <c r="CV24" s="43" t="str">
        <f t="shared" si="29"/>
        <v>Le taux d'utilisation est proche de 100 %. Presque tous les utilisateurs savent comment utiliser correctement la technologie.</v>
      </c>
      <c r="CW24" s="43" t="s">
        <v>1009</v>
      </c>
      <c r="CX24" s="43" t="str">
        <f t="shared" si="29"/>
        <v>Le taux d'utilisation est proche de 100 %. Presque tous les utilisateurs savent comment utiliser correctement la technologie.</v>
      </c>
      <c r="CY24" s="43" t="str">
        <f t="shared" si="29"/>
        <v>Le taux d'utilisation est proche de 100 %. Presque tous les utilisateurs savent comment utiliser correctement la technologie.</v>
      </c>
      <c r="CZ24" s="43" t="str">
        <f t="shared" si="29"/>
        <v>Le taux d'utilisation est proche de 100 %. Presque tous les utilisateurs savent comment utiliser correctement la technologie.</v>
      </c>
      <c r="DA24" s="43" t="str">
        <f t="shared" si="29"/>
        <v>Le taux d'utilisation est proche de 100 %. Presque tous les utilisateurs savent comment utiliser correctement la technologie.</v>
      </c>
      <c r="DB24" s="43" t="s">
        <v>984</v>
      </c>
      <c r="DC24" s="441"/>
    </row>
    <row r="25" spans="1:107" ht="80.099999999999994" customHeight="1" thickTop="1" thickBot="1" x14ac:dyDescent="0.25">
      <c r="A25" s="244"/>
      <c r="B25" s="543"/>
      <c r="C25" s="49" t="s">
        <v>164</v>
      </c>
      <c r="D25" s="49" t="s">
        <v>17</v>
      </c>
      <c r="E25" s="48" t="s">
        <v>533</v>
      </c>
      <c r="F25" s="39" t="str">
        <f t="shared" si="20"/>
        <v>The fraction of customers investing in a new product or repairs/spare parts once it breaks or wears down.</v>
      </c>
      <c r="G25" s="39" t="str">
        <f t="shared" si="20"/>
        <v>The fraction of customers investing in a new product or repairs/spare parts once it breaks or wears down.</v>
      </c>
      <c r="H25" s="39" t="str">
        <f t="shared" si="20"/>
        <v>The fraction of customers investing in a new product or repairs/spare parts once it breaks or wears down.</v>
      </c>
      <c r="I25" s="39" t="str">
        <f t="shared" si="20"/>
        <v>The fraction of customers investing in a new product or repairs/spare parts once it breaks or wears down.</v>
      </c>
      <c r="J25" s="39" t="str">
        <f t="shared" si="20"/>
        <v>The fraction of customers investing in a new product or repairs/spare parts once it breaks or wears down.</v>
      </c>
      <c r="K25" s="39" t="str">
        <f t="shared" si="20"/>
        <v>The fraction of customers investing in a new product or repairs/spare parts once it breaks or wears down.</v>
      </c>
      <c r="L25" s="39" t="str">
        <f t="shared" si="20"/>
        <v>The fraction of customers investing in a new product or repairs/spare parts once it breaks or wears down.</v>
      </c>
      <c r="M25" s="39" t="str">
        <f t="shared" si="20"/>
        <v>The fraction of customers investing in a new product or repairs/spare parts once it breaks or wears down.</v>
      </c>
      <c r="N25" s="39" t="str">
        <f t="shared" si="20"/>
        <v>The fraction of customers investing in a new product or repairs/spare parts once it breaks or wears down.</v>
      </c>
      <c r="O25" s="48" t="s">
        <v>837</v>
      </c>
      <c r="P25" s="40" t="str">
        <f t="shared" si="21"/>
        <v xml:space="preserve">No replacement and repairs yet. </v>
      </c>
      <c r="Q25" s="40" t="str">
        <f t="shared" si="21"/>
        <v xml:space="preserve">No replacement and repairs yet. </v>
      </c>
      <c r="R25" s="40" t="str">
        <f t="shared" si="21"/>
        <v xml:space="preserve">No replacement and repairs yet. </v>
      </c>
      <c r="S25" s="40" t="str">
        <f t="shared" si="21"/>
        <v xml:space="preserve">No replacement and repairs yet. </v>
      </c>
      <c r="T25" s="40" t="str">
        <f t="shared" si="21"/>
        <v xml:space="preserve">No replacement and repairs yet. </v>
      </c>
      <c r="U25" s="40" t="str">
        <f t="shared" si="21"/>
        <v xml:space="preserve">No replacement and repairs yet. </v>
      </c>
      <c r="V25" s="40" t="str">
        <f t="shared" si="21"/>
        <v xml:space="preserve">No replacement and repairs yet. </v>
      </c>
      <c r="W25" s="40" t="str">
        <f t="shared" si="21"/>
        <v xml:space="preserve">No replacement and repairs yet. </v>
      </c>
      <c r="X25" s="40" t="str">
        <f t="shared" si="21"/>
        <v xml:space="preserve">No replacement and repairs yet. </v>
      </c>
      <c r="Y25" s="40" t="s">
        <v>534</v>
      </c>
      <c r="Z25" s="41" t="str">
        <f t="shared" si="22"/>
        <v>Initial replacements/repairs occur. Replacement/repair rate is low.</v>
      </c>
      <c r="AA25" s="41" t="str">
        <f t="shared" si="22"/>
        <v>Initial replacements/repairs occur. Replacement/repair rate is low.</v>
      </c>
      <c r="AB25" s="41" t="str">
        <f t="shared" si="22"/>
        <v>Initial replacements/repairs occur. Replacement/repair rate is low.</v>
      </c>
      <c r="AC25" s="41" t="str">
        <f t="shared" si="22"/>
        <v>Initial replacements/repairs occur. Replacement/repair rate is low.</v>
      </c>
      <c r="AD25" s="41" t="str">
        <f t="shared" si="22"/>
        <v>Initial replacements/repairs occur. Replacement/repair rate is low.</v>
      </c>
      <c r="AE25" s="41" t="str">
        <f t="shared" si="22"/>
        <v>Initial replacements/repairs occur. Replacement/repair rate is low.</v>
      </c>
      <c r="AF25" s="41" t="str">
        <f t="shared" si="22"/>
        <v>Initial replacements/repairs occur. Replacement/repair rate is low.</v>
      </c>
      <c r="AG25" s="41" t="str">
        <f t="shared" si="22"/>
        <v>Initial replacements/repairs occur. Replacement/repair rate is low.</v>
      </c>
      <c r="AH25" s="41" t="str">
        <f t="shared" si="22"/>
        <v>Initial replacements/repairs occur. Replacement/repair rate is low.</v>
      </c>
      <c r="AI25" s="41" t="s">
        <v>535</v>
      </c>
      <c r="AJ25" s="42" t="str">
        <f t="shared" si="23"/>
        <v>Replacement/repair rate is high. Replacements/repairs become more common. Many of the broken technologies are replaced/repaired.</v>
      </c>
      <c r="AK25" s="42" t="str">
        <f t="shared" si="23"/>
        <v>Replacement/repair rate is high. Replacements/repairs become more common. Many of the broken technologies are replaced/repaired.</v>
      </c>
      <c r="AL25" s="42" t="str">
        <f t="shared" si="23"/>
        <v>Replacement/repair rate is high. Replacements/repairs become more common. Many of the broken technologies are replaced/repaired.</v>
      </c>
      <c r="AM25" s="42" t="str">
        <f t="shared" si="23"/>
        <v>Replacement/repair rate is high. Replacements/repairs become more common. Many of the broken technologies are replaced/repaired.</v>
      </c>
      <c r="AN25" s="42" t="str">
        <f t="shared" si="23"/>
        <v>Replacement/repair rate is high. Replacements/repairs become more common. Many of the broken technologies are replaced/repaired.</v>
      </c>
      <c r="AO25" s="42" t="str">
        <f t="shared" si="23"/>
        <v>Replacement/repair rate is high. Replacements/repairs become more common. Many of the broken technologies are replaced/repaired.</v>
      </c>
      <c r="AP25" s="42" t="str">
        <f t="shared" si="23"/>
        <v>Replacement/repair rate is high. Replacements/repairs become more common. Many of the broken technologies are replaced/repaired.</v>
      </c>
      <c r="AQ25" s="42" t="str">
        <f t="shared" si="23"/>
        <v>Replacement/repair rate is high. Replacements/repairs become more common. Many of the broken technologies are replaced/repaired.</v>
      </c>
      <c r="AR25" s="42" t="str">
        <f t="shared" si="23"/>
        <v>Replacement/repair rate is high. Replacements/repairs become more common. Many of the broken technologies are replaced/repaired.</v>
      </c>
      <c r="AS25" s="42" t="s">
        <v>536</v>
      </c>
      <c r="AT25" s="43" t="str">
        <f t="shared" si="24"/>
        <v>Replacement rate is close to 100% Almost all users replace or repair their broken technology.</v>
      </c>
      <c r="AU25" s="43" t="str">
        <f t="shared" si="24"/>
        <v>Replacement rate is close to 100% Almost all users replace or repair their broken technology.</v>
      </c>
      <c r="AV25" s="43" t="str">
        <f t="shared" si="24"/>
        <v>Replacement rate is close to 100% Almost all users replace or repair their broken technology.</v>
      </c>
      <c r="AW25" s="43" t="str">
        <f t="shared" si="24"/>
        <v>Replacement rate is close to 100% Almost all users replace or repair their broken technology.</v>
      </c>
      <c r="AX25" s="43" t="str">
        <f t="shared" si="24"/>
        <v>Replacement rate is close to 100% Almost all users replace or repair their broken technology.</v>
      </c>
      <c r="AY25" s="43" t="str">
        <f t="shared" si="24"/>
        <v>Replacement rate is close to 100% Almost all users replace or repair their broken technology.</v>
      </c>
      <c r="AZ25" s="43" t="str">
        <f t="shared" si="24"/>
        <v>Replacement rate is close to 100% Almost all users replace or repair their broken technology.</v>
      </c>
      <c r="BA25" s="43" t="str">
        <f t="shared" si="24"/>
        <v>Replacement rate is close to 100% Almost all users replace or repair their broken technology.</v>
      </c>
      <c r="BB25" s="43" t="str">
        <f t="shared" si="24"/>
        <v>Replacement rate is close to 100% Almost all users replace or repair their broken technology.</v>
      </c>
      <c r="BC25" s="43" t="s">
        <v>537</v>
      </c>
      <c r="BD25" s="244"/>
      <c r="BE25" s="39" t="str">
        <f t="shared" si="25"/>
        <v>La fraction des clients qui investissent dans un nouveau produit ou dans des réparations/ pièces de rechange une fois que le produit est cassé ou usagé.</v>
      </c>
      <c r="BF25" s="39" t="str">
        <f t="shared" si="25"/>
        <v>La fraction des clients qui investissent dans un nouveau produit ou dans des réparations/ pièces de rechange une fois que le produit est cassé ou usagé.</v>
      </c>
      <c r="BG25" s="39" t="str">
        <f t="shared" si="25"/>
        <v>La fraction des clients qui investissent dans un nouveau produit ou dans des réparations/ pièces de rechange une fois que le produit est cassé ou usagé.</v>
      </c>
      <c r="BH25" s="39" t="str">
        <f t="shared" si="25"/>
        <v>La fraction des clients qui investissent dans un nouveau produit ou dans des réparations/ pièces de rechange une fois que le produit est cassé ou usagé.</v>
      </c>
      <c r="BI25" s="39" t="str">
        <f t="shared" si="25"/>
        <v>La fraction des clients qui investissent dans un nouveau produit ou dans des réparations/ pièces de rechange une fois que le produit est cassé ou usagé.</v>
      </c>
      <c r="BJ25" s="39" t="str">
        <f t="shared" si="25"/>
        <v>La fraction des clients qui investissent dans un nouveau produit ou dans des réparations/ pièces de rechange une fois que le produit est cassé ou usagé.</v>
      </c>
      <c r="BK25" s="39" t="str">
        <f t="shared" si="25"/>
        <v>La fraction des clients qui investissent dans un nouveau produit ou dans des réparations/ pièces de rechange une fois que le produit est cassé ou usagé.</v>
      </c>
      <c r="BL25" s="39" t="str">
        <f t="shared" si="25"/>
        <v>La fraction des clients qui investissent dans un nouveau produit ou dans des réparations/ pièces de rechange une fois que le produit est cassé ou usagé.</v>
      </c>
      <c r="BM25" s="39" t="str">
        <f t="shared" si="25"/>
        <v>La fraction des clients qui investissent dans un nouveau produit ou dans des réparations/ pièces de rechange une fois que le produit est cassé ou usagé.</v>
      </c>
      <c r="BN25" s="48" t="s">
        <v>838</v>
      </c>
      <c r="BO25" s="40" t="str">
        <f t="shared" si="26"/>
        <v xml:space="preserve">Pas encore de remplacement ni de réparation. </v>
      </c>
      <c r="BP25" s="40" t="str">
        <f t="shared" si="26"/>
        <v xml:space="preserve">Pas encore de remplacement ni de réparation. </v>
      </c>
      <c r="BQ25" s="40" t="str">
        <f t="shared" si="26"/>
        <v xml:space="preserve">Pas encore de remplacement ni de réparation. </v>
      </c>
      <c r="BR25" s="40" t="str">
        <f t="shared" si="26"/>
        <v xml:space="preserve">Pas encore de remplacement ni de réparation. </v>
      </c>
      <c r="BS25" s="40" t="str">
        <f t="shared" si="26"/>
        <v xml:space="preserve">Pas encore de remplacement ni de réparation. </v>
      </c>
      <c r="BT25" s="40" t="str">
        <f t="shared" si="26"/>
        <v xml:space="preserve">Pas encore de remplacement ni de réparation. </v>
      </c>
      <c r="BU25" s="40" t="str">
        <f t="shared" si="26"/>
        <v xml:space="preserve">Pas encore de remplacement ni de réparation. </v>
      </c>
      <c r="BV25" s="40" t="str">
        <f t="shared" si="26"/>
        <v xml:space="preserve">Pas encore de remplacement ni de réparation. </v>
      </c>
      <c r="BW25" s="40" t="str">
        <f t="shared" si="26"/>
        <v xml:space="preserve">Pas encore de remplacement ni de réparation. </v>
      </c>
      <c r="BX25" s="40" t="s">
        <v>874</v>
      </c>
      <c r="BY25" s="41" t="str">
        <f t="shared" si="27"/>
        <v>Les premiers remplacements/réparations ont lieu. Le taux de remplacement/réparation est faible.</v>
      </c>
      <c r="BZ25" s="41" t="str">
        <f t="shared" si="27"/>
        <v>Les premiers remplacements/réparations ont lieu. Le taux de remplacement/réparation est faible.</v>
      </c>
      <c r="CA25" s="41" t="str">
        <f t="shared" si="27"/>
        <v>Les premiers remplacements/réparations ont lieu. Le taux de remplacement/réparation est faible.</v>
      </c>
      <c r="CB25" s="41" t="str">
        <f t="shared" si="27"/>
        <v>Les premiers remplacements/réparations ont lieu. Le taux de remplacement/réparation est faible.</v>
      </c>
      <c r="CC25" s="41" t="str">
        <f t="shared" si="27"/>
        <v>Les premiers remplacements/réparations ont lieu. Le taux de remplacement/réparation est faible.</v>
      </c>
      <c r="CD25" s="41" t="str">
        <f t="shared" si="27"/>
        <v>Les premiers remplacements/réparations ont lieu. Le taux de remplacement/réparation est faible.</v>
      </c>
      <c r="CE25" s="41" t="str">
        <f t="shared" si="27"/>
        <v>Les premiers remplacements/réparations ont lieu. Le taux de remplacement/réparation est faible.</v>
      </c>
      <c r="CF25" s="41" t="str">
        <f t="shared" si="27"/>
        <v>Les premiers remplacements/réparations ont lieu. Le taux de remplacement/réparation est faible.</v>
      </c>
      <c r="CG25" s="41" t="str">
        <f t="shared" si="27"/>
        <v>Les premiers remplacements/réparations ont lieu. Le taux de remplacement/réparation est faible.</v>
      </c>
      <c r="CH25" s="41" t="s">
        <v>922</v>
      </c>
      <c r="CI25" s="42" t="str">
        <f t="shared" si="28"/>
        <v>Le taux de remplacement/ réparation est élevé. Les remplacements/réparations deviennent plus courants. Les technologies défectueuses sont remplacées/réparées à l’échelle.</v>
      </c>
      <c r="CJ25" s="42" t="str">
        <f t="shared" si="28"/>
        <v>Le taux de remplacement/ réparation est élevé. Les remplacements/réparations deviennent plus courants. Les technologies défectueuses sont remplacées/réparées à l’échelle.</v>
      </c>
      <c r="CK25" s="42" t="str">
        <f t="shared" si="28"/>
        <v>Le taux de remplacement/ réparation est élevé. Les remplacements/réparations deviennent plus courants. Les technologies défectueuses sont remplacées/réparées à l’échelle.</v>
      </c>
      <c r="CL25" s="42" t="str">
        <f t="shared" si="28"/>
        <v>Le taux de remplacement/ réparation est élevé. Les remplacements/réparations deviennent plus courants. Les technologies défectueuses sont remplacées/réparées à l’échelle.</v>
      </c>
      <c r="CM25" s="42" t="str">
        <f t="shared" si="28"/>
        <v>Le taux de remplacement/ réparation est élevé. Les remplacements/réparations deviennent plus courants. Les technologies défectueuses sont remplacées/réparées à l’échelle.</v>
      </c>
      <c r="CN25" s="42" t="str">
        <f t="shared" si="28"/>
        <v>Le taux de remplacement/ réparation est élevé. Les remplacements/réparations deviennent plus courants. Les technologies défectueuses sont remplacées/réparées à l’échelle.</v>
      </c>
      <c r="CO25" s="42" t="str">
        <f t="shared" si="28"/>
        <v>Le taux de remplacement/ réparation est élevé. Les remplacements/réparations deviennent plus courants. Les technologies défectueuses sont remplacées/réparées à l’échelle.</v>
      </c>
      <c r="CP25" s="42" t="str">
        <f t="shared" si="28"/>
        <v>Le taux de remplacement/ réparation est élevé. Les remplacements/réparations deviennent plus courants. Les technologies défectueuses sont remplacées/réparées à l’échelle.</v>
      </c>
      <c r="CQ25" s="42" t="str">
        <f t="shared" si="28"/>
        <v>Le taux de remplacement/ réparation est élevé. Les remplacements/réparations deviennent plus courants. Les technologies défectueuses sont remplacées/réparées à l’échelle.</v>
      </c>
      <c r="CR25" s="42" t="s">
        <v>1015</v>
      </c>
      <c r="CS25" s="43" t="str">
        <f t="shared" si="29"/>
        <v>Le taux de remplacement est proche de 100 % Presque tous les utilisateurs remplacent ou réparent leur technologie défectueuse.</v>
      </c>
      <c r="CT25" s="43" t="str">
        <f t="shared" si="29"/>
        <v>Le taux de remplacement est proche de 100 % Presque tous les utilisateurs remplacent ou réparent leur technologie défectueuse.</v>
      </c>
      <c r="CU25" s="43" t="str">
        <f t="shared" si="29"/>
        <v>Le taux de remplacement est proche de 100 % Presque tous les utilisateurs remplacent ou réparent leur technologie défectueuse.</v>
      </c>
      <c r="CV25" s="43" t="str">
        <f t="shared" si="29"/>
        <v>Le taux de remplacement est proche de 100 % Presque tous les utilisateurs remplacent ou réparent leur technologie défectueuse.</v>
      </c>
      <c r="CW25" s="43" t="str">
        <f t="shared" si="29"/>
        <v>Le taux de remplacement est proche de 100 % Presque tous les utilisateurs remplacent ou réparent leur technologie défectueuse.</v>
      </c>
      <c r="CX25" s="43" t="str">
        <f t="shared" si="29"/>
        <v>Le taux de remplacement est proche de 100 % Presque tous les utilisateurs remplacent ou réparent leur technologie défectueuse.</v>
      </c>
      <c r="CY25" s="43" t="str">
        <f t="shared" si="29"/>
        <v>Le taux de remplacement est proche de 100 % Presque tous les utilisateurs remplacent ou réparent leur technologie défectueuse.</v>
      </c>
      <c r="CZ25" s="43" t="str">
        <f t="shared" si="29"/>
        <v>Le taux de remplacement est proche de 100 % Presque tous les utilisateurs remplacent ou réparent leur technologie défectueuse.</v>
      </c>
      <c r="DA25" s="43" t="str">
        <f t="shared" si="29"/>
        <v>Le taux de remplacement est proche de 100 % Presque tous les utilisateurs remplacent ou réparent leur technologie défectueuse.</v>
      </c>
      <c r="DB25" s="43" t="s">
        <v>985</v>
      </c>
      <c r="DC25" s="441"/>
    </row>
    <row r="26" spans="1:107" ht="80.099999999999994" customHeight="1" thickTop="1" thickBot="1" x14ac:dyDescent="0.25">
      <c r="A26" s="244"/>
      <c r="B26" s="543"/>
      <c r="C26" s="489" t="s">
        <v>167</v>
      </c>
      <c r="D26" s="49" t="s">
        <v>18</v>
      </c>
      <c r="E26" s="48" t="s">
        <v>168</v>
      </c>
      <c r="F26" s="39" t="str">
        <f t="shared" si="20"/>
        <v>Share of target market population that know the product/service.</v>
      </c>
      <c r="G26" s="39" t="str">
        <f t="shared" si="20"/>
        <v>Share of target market population that know the product/service.</v>
      </c>
      <c r="H26" s="39" t="str">
        <f t="shared" si="20"/>
        <v>Share of target market population that know the product/service.</v>
      </c>
      <c r="I26" s="39" t="str">
        <f t="shared" si="20"/>
        <v>Share of target market population that know the product/service.</v>
      </c>
      <c r="J26" s="39" t="str">
        <f t="shared" si="20"/>
        <v>Share of target market population that know the product/service.</v>
      </c>
      <c r="K26" s="39" t="str">
        <f t="shared" si="20"/>
        <v>Share of target market population that know the product/service.</v>
      </c>
      <c r="L26" s="39" t="str">
        <f t="shared" si="20"/>
        <v>Share of target market population that know the product/service.</v>
      </c>
      <c r="M26" s="39" t="str">
        <f t="shared" si="20"/>
        <v>Share of target market population that know the product/service.</v>
      </c>
      <c r="N26" s="39" t="str">
        <f t="shared" si="20"/>
        <v>Share of target market population that know the product/service.</v>
      </c>
      <c r="O26" s="48" t="s">
        <v>733</v>
      </c>
      <c r="P26" s="40" t="str">
        <f t="shared" si="21"/>
        <v>No (or very little) awareness: &lt; 5% of potential consumers are aware of the technology.</v>
      </c>
      <c r="Q26" s="40" t="str">
        <f t="shared" si="21"/>
        <v>No (or very little) awareness: &lt; 5% of potential consumers are aware of the technology.</v>
      </c>
      <c r="R26" s="40" t="str">
        <f t="shared" si="21"/>
        <v>No (or very little) awareness: &lt; 5% of potential consumers are aware of the technology.</v>
      </c>
      <c r="S26" s="40" t="str">
        <f t="shared" si="21"/>
        <v>No (or very little) awareness: &lt; 5% of potential consumers are aware of the technology.</v>
      </c>
      <c r="T26" s="40" t="str">
        <f t="shared" si="21"/>
        <v>No (or very little) awareness: &lt; 5% of potential consumers are aware of the technology.</v>
      </c>
      <c r="U26" s="40" t="str">
        <f t="shared" si="21"/>
        <v>No (or very little) awareness: &lt; 5% of potential consumers are aware of the technology.</v>
      </c>
      <c r="V26" s="40" t="str">
        <f t="shared" si="21"/>
        <v>No (or very little) awareness: &lt; 5% of potential consumers are aware of the technology.</v>
      </c>
      <c r="W26" s="40" t="str">
        <f t="shared" si="21"/>
        <v>No (or very little) awareness: &lt; 5% of potential consumers are aware of the technology.</v>
      </c>
      <c r="X26" s="40" t="str">
        <f t="shared" si="21"/>
        <v>No (or very little) awareness: &lt; 5% of potential consumers are aware of the technology.</v>
      </c>
      <c r="Y26" s="40" t="s">
        <v>538</v>
      </c>
      <c r="Z26" s="41" t="str">
        <f t="shared" si="22"/>
        <v>Fast growth in awareness: 6-30% of potential consumers are aware of the technology.</v>
      </c>
      <c r="AA26" s="41" t="str">
        <f t="shared" si="22"/>
        <v>Fast growth in awareness: 6-30% of potential consumers are aware of the technology.</v>
      </c>
      <c r="AB26" s="41" t="str">
        <f t="shared" si="22"/>
        <v>Fast growth in awareness: 6-30% of potential consumers are aware of the technology.</v>
      </c>
      <c r="AC26" s="41" t="str">
        <f t="shared" si="22"/>
        <v>Fast growth in awareness: 6-30% of potential consumers are aware of the technology.</v>
      </c>
      <c r="AD26" s="41" t="str">
        <f t="shared" si="22"/>
        <v>Fast growth in awareness: 6-30% of potential consumers are aware of the technology.</v>
      </c>
      <c r="AE26" s="41" t="str">
        <f t="shared" si="22"/>
        <v>Fast growth in awareness: 6-30% of potential consumers are aware of the technology.</v>
      </c>
      <c r="AF26" s="41" t="str">
        <f t="shared" si="22"/>
        <v>Fast growth in awareness: 6-30% of potential consumers are aware of the technology.</v>
      </c>
      <c r="AG26" s="41" t="str">
        <f t="shared" si="22"/>
        <v>Fast growth in awareness: 6-30% of potential consumers are aware of the technology.</v>
      </c>
      <c r="AH26" s="41" t="str">
        <f t="shared" si="22"/>
        <v>Fast growth in awareness: 6-30% of potential consumers are aware of the technology.</v>
      </c>
      <c r="AI26" s="41" t="s">
        <v>539</v>
      </c>
      <c r="AJ26" s="42" t="str">
        <f t="shared" si="23"/>
        <v>Most potential consumers (31-60%) are aware of the technology.</v>
      </c>
      <c r="AK26" s="42" t="str">
        <f t="shared" si="23"/>
        <v>Most potential consumers (31-60%) are aware of the technology.</v>
      </c>
      <c r="AL26" s="42" t="str">
        <f t="shared" si="23"/>
        <v>Most potential consumers (31-60%) are aware of the technology.</v>
      </c>
      <c r="AM26" s="42" t="str">
        <f t="shared" si="23"/>
        <v>Most potential consumers (31-60%) are aware of the technology.</v>
      </c>
      <c r="AN26" s="42" t="str">
        <f t="shared" si="23"/>
        <v>Most potential consumers (31-60%) are aware of the technology.</v>
      </c>
      <c r="AO26" s="42" t="str">
        <f t="shared" si="23"/>
        <v>Most potential consumers (31-60%) are aware of the technology.</v>
      </c>
      <c r="AP26" s="42" t="str">
        <f t="shared" si="23"/>
        <v>Most potential consumers (31-60%) are aware of the technology.</v>
      </c>
      <c r="AQ26" s="42" t="str">
        <f t="shared" si="23"/>
        <v>Most potential consumers (31-60%) are aware of the technology.</v>
      </c>
      <c r="AR26" s="42" t="str">
        <f t="shared" si="23"/>
        <v>Most potential consumers (31-60%) are aware of the technology.</v>
      </c>
      <c r="AS26" s="42" t="s">
        <v>540</v>
      </c>
      <c r="AT26" s="43" t="str">
        <f t="shared" si="24"/>
        <v>Almost all potential consumers are aware of the technology and are knowledgeable about pricing (61-80%).</v>
      </c>
      <c r="AU26" s="43" t="str">
        <f t="shared" si="24"/>
        <v>Almost all potential consumers are aware of the technology and are knowledgeable about pricing (61-80%).</v>
      </c>
      <c r="AV26" s="43" t="str">
        <f t="shared" si="24"/>
        <v>Almost all potential consumers are aware of the technology and are knowledgeable about pricing (61-80%).</v>
      </c>
      <c r="AW26" s="43" t="str">
        <f t="shared" si="24"/>
        <v>Almost all potential consumers are aware of the technology and are knowledgeable about pricing (61-80%).</v>
      </c>
      <c r="AX26" s="43" t="str">
        <f t="shared" si="24"/>
        <v>Almost all potential consumers are aware of the technology and are knowledgeable about pricing (61-80%).</v>
      </c>
      <c r="AY26" s="43" t="str">
        <f t="shared" si="24"/>
        <v>Almost all potential consumers are aware of the technology and are knowledgeable about pricing (61-80%).</v>
      </c>
      <c r="AZ26" s="43" t="str">
        <f t="shared" si="24"/>
        <v>Almost all potential consumers are aware of the technology and are knowledgeable about pricing (61-80%).</v>
      </c>
      <c r="BA26" s="43" t="str">
        <f t="shared" si="24"/>
        <v>Almost all potential consumers are aware of the technology and are knowledgeable about pricing (61-80%).</v>
      </c>
      <c r="BB26" s="43" t="str">
        <f t="shared" si="24"/>
        <v>Almost all potential consumers are aware of the technology and are knowledgeable about pricing (61-80%).</v>
      </c>
      <c r="BC26" s="43" t="s">
        <v>541</v>
      </c>
      <c r="BD26" s="244"/>
      <c r="BE26" s="39" t="str">
        <f t="shared" si="25"/>
        <v>La part des cleints potentiels ciblés qui connaît le produit/service.</v>
      </c>
      <c r="BF26" s="39" t="str">
        <f t="shared" si="25"/>
        <v>La part des cleints potentiels ciblés qui connaît le produit/service.</v>
      </c>
      <c r="BG26" s="39" t="str">
        <f t="shared" si="25"/>
        <v>La part des cleints potentiels ciblés qui connaît le produit/service.</v>
      </c>
      <c r="BH26" s="39" t="str">
        <f t="shared" si="25"/>
        <v>La part des cleints potentiels ciblés qui connaît le produit/service.</v>
      </c>
      <c r="BI26" s="39" t="str">
        <f t="shared" si="25"/>
        <v>La part des cleints potentiels ciblés qui connaît le produit/service.</v>
      </c>
      <c r="BJ26" s="39" t="str">
        <f t="shared" si="25"/>
        <v>La part des cleints potentiels ciblés qui connaît le produit/service.</v>
      </c>
      <c r="BK26" s="39" t="str">
        <f t="shared" si="25"/>
        <v>La part des cleints potentiels ciblés qui connaît le produit/service.</v>
      </c>
      <c r="BL26" s="39" t="str">
        <f t="shared" si="25"/>
        <v>La part des cleints potentiels ciblés qui connaît le produit/service.</v>
      </c>
      <c r="BM26" s="39" t="str">
        <f t="shared" si="25"/>
        <v>La part des cleints potentiels ciblés qui connaît le produit/service.</v>
      </c>
      <c r="BN26" s="48" t="s">
        <v>806</v>
      </c>
      <c r="BO26" s="40" t="str">
        <f t="shared" si="26"/>
        <v>Pas (ou très peu) de sensibilisation : &lt; 5 % des consommateurs potentiels connaissent la technologie.</v>
      </c>
      <c r="BP26" s="40" t="str">
        <f t="shared" si="26"/>
        <v>Pas (ou très peu) de sensibilisation : &lt; 5 % des consommateurs potentiels connaissent la technologie.</v>
      </c>
      <c r="BQ26" s="40" t="str">
        <f t="shared" si="26"/>
        <v>Pas (ou très peu) de sensibilisation : &lt; 5 % des consommateurs potentiels connaissent la technologie.</v>
      </c>
      <c r="BR26" s="40" t="str">
        <f t="shared" si="26"/>
        <v>Pas (ou très peu) de sensibilisation : &lt; 5 % des consommateurs potentiels connaissent la technologie.</v>
      </c>
      <c r="BS26" s="40" t="str">
        <f t="shared" si="26"/>
        <v>Pas (ou très peu) de sensibilisation : &lt; 5 % des consommateurs potentiels connaissent la technologie.</v>
      </c>
      <c r="BT26" s="40" t="str">
        <f t="shared" si="26"/>
        <v>Pas (ou très peu) de sensibilisation : &lt; 5 % des consommateurs potentiels connaissent la technologie.</v>
      </c>
      <c r="BU26" s="40" t="str">
        <f t="shared" si="26"/>
        <v>Pas (ou très peu) de sensibilisation : &lt; 5 % des consommateurs potentiels connaissent la technologie.</v>
      </c>
      <c r="BV26" s="40" t="str">
        <f t="shared" si="26"/>
        <v>Pas (ou très peu) de sensibilisation : &lt; 5 % des consommateurs potentiels connaissent la technologie.</v>
      </c>
      <c r="BW26" s="40" t="str">
        <f t="shared" si="26"/>
        <v>Pas (ou très peu) de sensibilisation : &lt; 5 % des consommateurs potentiels connaissent la technologie.</v>
      </c>
      <c r="BX26" s="40" t="s">
        <v>875</v>
      </c>
      <c r="BY26" s="41" t="str">
        <f t="shared" si="27"/>
        <v>Croissance rapide de la notoriété : 6 à 30 % des consommateurs potentiels connaissent la technologie.</v>
      </c>
      <c r="BZ26" s="41" t="str">
        <f t="shared" si="27"/>
        <v>Croissance rapide de la notoriété : 6 à 30 % des consommateurs potentiels connaissent la technologie.</v>
      </c>
      <c r="CA26" s="41" t="str">
        <f t="shared" si="27"/>
        <v>Croissance rapide de la notoriété : 6 à 30 % des consommateurs potentiels connaissent la technologie.</v>
      </c>
      <c r="CB26" s="41" t="str">
        <f t="shared" si="27"/>
        <v>Croissance rapide de la notoriété : 6 à 30 % des consommateurs potentiels connaissent la technologie.</v>
      </c>
      <c r="CC26" s="41" t="str">
        <f t="shared" si="27"/>
        <v>Croissance rapide de la notoriété : 6 à 30 % des consommateurs potentiels connaissent la technologie.</v>
      </c>
      <c r="CD26" s="41" t="str">
        <f t="shared" si="27"/>
        <v>Croissance rapide de la notoriété : 6 à 30 % des consommateurs potentiels connaissent la technologie.</v>
      </c>
      <c r="CE26" s="41" t="str">
        <f t="shared" si="27"/>
        <v>Croissance rapide de la notoriété : 6 à 30 % des consommateurs potentiels connaissent la technologie.</v>
      </c>
      <c r="CF26" s="41" t="str">
        <f t="shared" si="27"/>
        <v>Croissance rapide de la notoriété : 6 à 30 % des consommateurs potentiels connaissent la technologie.</v>
      </c>
      <c r="CG26" s="41" t="str">
        <f t="shared" si="27"/>
        <v>Croissance rapide de la notoriété : 6 à 30 % des consommateurs potentiels connaissent la technologie.</v>
      </c>
      <c r="CH26" s="41" t="s">
        <v>923</v>
      </c>
      <c r="CI26" s="42" t="str">
        <f t="shared" si="28"/>
        <v>La plupart des consommateurs potentiels (31-60%) connaissent la technologie.</v>
      </c>
      <c r="CJ26" s="42" t="str">
        <f t="shared" si="28"/>
        <v>La plupart des consommateurs potentiels (31-60%) connaissent la technologie.</v>
      </c>
      <c r="CK26" s="42" t="str">
        <f t="shared" si="28"/>
        <v>La plupart des consommateurs potentiels (31-60%) connaissent la technologie.</v>
      </c>
      <c r="CL26" s="42" t="str">
        <f t="shared" si="28"/>
        <v>La plupart des consommateurs potentiels (31-60%) connaissent la technologie.</v>
      </c>
      <c r="CM26" s="42" t="str">
        <f t="shared" si="28"/>
        <v>La plupart des consommateurs potentiels (31-60%) connaissent la technologie.</v>
      </c>
      <c r="CN26" s="42" t="str">
        <f t="shared" si="28"/>
        <v>La plupart des consommateurs potentiels (31-60%) connaissent la technologie.</v>
      </c>
      <c r="CO26" s="42" t="str">
        <f t="shared" si="28"/>
        <v>La plupart des consommateurs potentiels (31-60%) connaissent la technologie.</v>
      </c>
      <c r="CP26" s="42" t="str">
        <f t="shared" si="28"/>
        <v>La plupart des consommateurs potentiels (31-60%) connaissent la technologie.</v>
      </c>
      <c r="CQ26" s="42" t="str">
        <f t="shared" si="28"/>
        <v>La plupart des consommateurs potentiels (31-60%) connaissent la technologie.</v>
      </c>
      <c r="CR26" s="42" t="s">
        <v>957</v>
      </c>
      <c r="CS26" s="43" t="str">
        <f t="shared" si="29"/>
        <v>La quasi-totalité des consommateurs potentiels connaissent la technologie et son prix (61-80%).</v>
      </c>
      <c r="CT26" s="43" t="str">
        <f t="shared" si="29"/>
        <v>La quasi-totalité des consommateurs potentiels connaissent la technologie et son prix (61-80%).</v>
      </c>
      <c r="CU26" s="43" t="str">
        <f t="shared" si="29"/>
        <v>La quasi-totalité des consommateurs potentiels connaissent la technologie et son prix (61-80%).</v>
      </c>
      <c r="CV26" s="43" t="str">
        <f t="shared" si="29"/>
        <v>La quasi-totalité des consommateurs potentiels connaissent la technologie et son prix (61-80%).</v>
      </c>
      <c r="CW26" s="43" t="str">
        <f t="shared" si="29"/>
        <v>La quasi-totalité des consommateurs potentiels connaissent la technologie et son prix (61-80%).</v>
      </c>
      <c r="CX26" s="43" t="str">
        <f t="shared" si="29"/>
        <v>La quasi-totalité des consommateurs potentiels connaissent la technologie et son prix (61-80%).</v>
      </c>
      <c r="CY26" s="43" t="str">
        <f t="shared" si="29"/>
        <v>La quasi-totalité des consommateurs potentiels connaissent la technologie et son prix (61-80%).</v>
      </c>
      <c r="CZ26" s="43" t="str">
        <f t="shared" si="29"/>
        <v>La quasi-totalité des consommateurs potentiels connaissent la technologie et son prix (61-80%).</v>
      </c>
      <c r="DA26" s="43" t="str">
        <f t="shared" si="29"/>
        <v>La quasi-totalité des consommateurs potentiels connaissent la technologie et son prix (61-80%).</v>
      </c>
      <c r="DB26" s="43" t="s">
        <v>1010</v>
      </c>
      <c r="DC26" s="441"/>
    </row>
    <row r="27" spans="1:107" ht="80.099999999999994" customHeight="1" thickTop="1" thickBot="1" x14ac:dyDescent="0.25">
      <c r="A27" s="244"/>
      <c r="B27" s="543"/>
      <c r="C27" s="489"/>
      <c r="D27" s="49" t="s">
        <v>19</v>
      </c>
      <c r="E27" s="48" t="s">
        <v>169</v>
      </c>
      <c r="F27" s="39" t="str">
        <f t="shared" ref="F27:N43" si="30">$O27</f>
        <v>The ability of potential consumers to assess, choose, and specify the product/service that best serves their needs.</v>
      </c>
      <c r="G27" s="39" t="str">
        <f t="shared" si="30"/>
        <v>The ability of potential consumers to assess, choose, and specify the product/service that best serves their needs.</v>
      </c>
      <c r="H27" s="39" t="str">
        <f t="shared" si="30"/>
        <v>The ability of potential consumers to assess, choose, and specify the product/service that best serves their needs.</v>
      </c>
      <c r="I27" s="39" t="str">
        <f t="shared" si="30"/>
        <v>The ability of potential consumers to assess, choose, and specify the product/service that best serves their needs.</v>
      </c>
      <c r="J27" s="39" t="str">
        <f t="shared" si="20"/>
        <v>The ability of potential consumers to assess, choose, and specify the product/service that best serves their needs.</v>
      </c>
      <c r="K27" s="39" t="str">
        <f t="shared" si="30"/>
        <v>The ability of potential consumers to assess, choose, and specify the product/service that best serves their needs.</v>
      </c>
      <c r="L27" s="39" t="str">
        <f t="shared" si="30"/>
        <v>The ability of potential consumers to assess, choose, and specify the product/service that best serves their needs.</v>
      </c>
      <c r="M27" s="39" t="str">
        <f t="shared" si="30"/>
        <v>The ability of potential consumers to assess, choose, and specify the product/service that best serves their needs.</v>
      </c>
      <c r="N27" s="39" t="str">
        <f t="shared" si="30"/>
        <v>The ability of potential consumers to assess, choose, and specify the product/service that best serves their needs.</v>
      </c>
      <c r="O27" s="48" t="s">
        <v>734</v>
      </c>
      <c r="P27" s="40" t="str">
        <f t="shared" ref="P27:X43" si="31">$Y27</f>
        <v>Only a few consumers perceive the technology positively as most of them are not aware of the benefits (&lt;20%).</v>
      </c>
      <c r="Q27" s="40" t="str">
        <f t="shared" si="31"/>
        <v>Only a few consumers perceive the technology positively as most of them are not aware of the benefits (&lt;20%).</v>
      </c>
      <c r="R27" s="40" t="str">
        <f t="shared" si="31"/>
        <v>Only a few consumers perceive the technology positively as most of them are not aware of the benefits (&lt;20%).</v>
      </c>
      <c r="S27" s="40" t="str">
        <f t="shared" si="31"/>
        <v>Only a few consumers perceive the technology positively as most of them are not aware of the benefits (&lt;20%).</v>
      </c>
      <c r="T27" s="40" t="str">
        <f t="shared" si="21"/>
        <v>Only a few consumers perceive the technology positively as most of them are not aware of the benefits (&lt;20%).</v>
      </c>
      <c r="U27" s="40" t="str">
        <f t="shared" si="31"/>
        <v>Only a few consumers perceive the technology positively as most of them are not aware of the benefits (&lt;20%).</v>
      </c>
      <c r="V27" s="40" t="str">
        <f t="shared" si="31"/>
        <v>Only a few consumers perceive the technology positively as most of them are not aware of the benefits (&lt;20%).</v>
      </c>
      <c r="W27" s="40" t="str">
        <f t="shared" si="31"/>
        <v>Only a few consumers perceive the technology positively as most of them are not aware of the benefits (&lt;20%).</v>
      </c>
      <c r="X27" s="40" t="str">
        <f t="shared" si="31"/>
        <v>Only a few consumers perceive the technology positively as most of them are not aware of the benefits (&lt;20%).</v>
      </c>
      <c r="Y27" s="40" t="s">
        <v>542</v>
      </c>
      <c r="Z27" s="41" t="str">
        <f t="shared" ref="Z27:AH43" si="32">$AI27</f>
        <v>More consumers perceive the technology positively, because they are aware of the benefits (21-40%).</v>
      </c>
      <c r="AA27" s="41" t="str">
        <f t="shared" si="32"/>
        <v>More consumers perceive the technology positively, because they are aware of the benefits (21-40%).</v>
      </c>
      <c r="AB27" s="41" t="str">
        <f t="shared" si="32"/>
        <v>More consumers perceive the technology positively, because they are aware of the benefits (21-40%).</v>
      </c>
      <c r="AC27" s="41" t="str">
        <f t="shared" si="32"/>
        <v>More consumers perceive the technology positively, because they are aware of the benefits (21-40%).</v>
      </c>
      <c r="AD27" s="41" t="s">
        <v>543</v>
      </c>
      <c r="AE27" s="41" t="str">
        <f t="shared" si="32"/>
        <v>More consumers perceive the technology positively, because they are aware of the benefits (21-40%).</v>
      </c>
      <c r="AF27" s="41" t="str">
        <f t="shared" si="32"/>
        <v>More consumers perceive the technology positively, because they are aware of the benefits (21-40%).</v>
      </c>
      <c r="AG27" s="41" t="str">
        <f t="shared" si="32"/>
        <v>More consumers perceive the technology positively, because they are aware of the benefits (21-40%).</v>
      </c>
      <c r="AH27" s="41" t="str">
        <f t="shared" si="32"/>
        <v>More consumers perceive the technology positively, because they are aware of the benefits (21-40%).</v>
      </c>
      <c r="AI27" s="41" t="s">
        <v>544</v>
      </c>
      <c r="AJ27" s="42" t="str">
        <f t="shared" ref="AJ27:AR43" si="33">$AS27</f>
        <v>Consumers perceive the technology positively, because most are aware of benefits and identify bad quality products (41-60%).</v>
      </c>
      <c r="AK27" s="42" t="str">
        <f t="shared" si="33"/>
        <v>Consumers perceive the technology positively, because most are aware of benefits and identify bad quality products (41-60%).</v>
      </c>
      <c r="AL27" s="42" t="str">
        <f t="shared" si="33"/>
        <v>Consumers perceive the technology positively, because most are aware of benefits and identify bad quality products (41-60%).</v>
      </c>
      <c r="AM27" s="42" t="str">
        <f t="shared" si="33"/>
        <v>Consumers perceive the technology positively, because most are aware of benefits and identify bad quality products (41-60%).</v>
      </c>
      <c r="AN27" s="42" t="str">
        <f t="shared" si="23"/>
        <v>Consumers perceive the technology positively, because most are aware of benefits and identify bad quality products (41-60%).</v>
      </c>
      <c r="AO27" s="42" t="str">
        <f t="shared" si="33"/>
        <v>Consumers perceive the technology positively, because most are aware of benefits and identify bad quality products (41-60%).</v>
      </c>
      <c r="AP27" s="42" t="str">
        <f t="shared" si="33"/>
        <v>Consumers perceive the technology positively, because most are aware of benefits and identify bad quality products (41-60%).</v>
      </c>
      <c r="AQ27" s="42" t="str">
        <f t="shared" si="33"/>
        <v>Consumers perceive the technology positively, because most are aware of benefits and identify bad quality products (41-60%).</v>
      </c>
      <c r="AR27" s="42" t="str">
        <f t="shared" si="33"/>
        <v>Consumers perceive the technology positively, because most are aware of benefits and identify bad quality products (41-60%).</v>
      </c>
      <c r="AS27" s="42" t="s">
        <v>545</v>
      </c>
      <c r="AT27" s="43" t="str">
        <f t="shared" ref="AT27:BB43" si="34">$BC27</f>
        <v>All consumers perceive the technology in general positively because they are aware of benefits and identify bad quality products (61-80%).</v>
      </c>
      <c r="AU27" s="43" t="str">
        <f t="shared" si="34"/>
        <v>All consumers perceive the technology in general positively because they are aware of benefits and identify bad quality products (61-80%).</v>
      </c>
      <c r="AV27" s="43" t="str">
        <f t="shared" si="34"/>
        <v>All consumers perceive the technology in general positively because they are aware of benefits and identify bad quality products (61-80%).</v>
      </c>
      <c r="AW27" s="43" t="str">
        <f t="shared" si="34"/>
        <v>All consumers perceive the technology in general positively because they are aware of benefits and identify bad quality products (61-80%).</v>
      </c>
      <c r="AX27" s="43" t="str">
        <f t="shared" si="24"/>
        <v>All consumers perceive the technology in general positively because they are aware of benefits and identify bad quality products (61-80%).</v>
      </c>
      <c r="AY27" s="43" t="str">
        <f t="shared" si="34"/>
        <v>All consumers perceive the technology in general positively because they are aware of benefits and identify bad quality products (61-80%).</v>
      </c>
      <c r="AZ27" s="43" t="str">
        <f t="shared" si="34"/>
        <v>All consumers perceive the technology in general positively because they are aware of benefits and identify bad quality products (61-80%).</v>
      </c>
      <c r="BA27" s="43" t="str">
        <f t="shared" si="34"/>
        <v>All consumers perceive the technology in general positively because they are aware of benefits and identify bad quality products (61-80%).</v>
      </c>
      <c r="BB27" s="43" t="str">
        <f t="shared" si="34"/>
        <v>All consumers perceive the technology in general positively because they are aware of benefits and identify bad quality products (61-80%).</v>
      </c>
      <c r="BC27" s="43" t="s">
        <v>546</v>
      </c>
      <c r="BD27" s="244"/>
      <c r="BE27" s="39" t="str">
        <f t="shared" ref="BE27:BM43" si="35">$BN27</f>
        <v>La capacité des consommateurs potentiels à évaluer, choisir et déterminer le produit/service qui répond le mieux à leurs besoins.</v>
      </c>
      <c r="BF27" s="39" t="str">
        <f t="shared" si="35"/>
        <v>La capacité des consommateurs potentiels à évaluer, choisir et déterminer le produit/service qui répond le mieux à leurs besoins.</v>
      </c>
      <c r="BG27" s="39" t="str">
        <f t="shared" si="35"/>
        <v>La capacité des consommateurs potentiels à évaluer, choisir et déterminer le produit/service qui répond le mieux à leurs besoins.</v>
      </c>
      <c r="BH27" s="39" t="str">
        <f t="shared" si="35"/>
        <v>La capacité des consommateurs potentiels à évaluer, choisir et déterminer le produit/service qui répond le mieux à leurs besoins.</v>
      </c>
      <c r="BI27" s="39" t="str">
        <f t="shared" si="35"/>
        <v>La capacité des consommateurs potentiels à évaluer, choisir et déterminer le produit/service qui répond le mieux à leurs besoins.</v>
      </c>
      <c r="BJ27" s="39" t="str">
        <f t="shared" si="35"/>
        <v>La capacité des consommateurs potentiels à évaluer, choisir et déterminer le produit/service qui répond le mieux à leurs besoins.</v>
      </c>
      <c r="BK27" s="39" t="str">
        <f t="shared" si="35"/>
        <v>La capacité des consommateurs potentiels à évaluer, choisir et déterminer le produit/service qui répond le mieux à leurs besoins.</v>
      </c>
      <c r="BL27" s="39" t="str">
        <f t="shared" si="35"/>
        <v>La capacité des consommateurs potentiels à évaluer, choisir et déterminer le produit/service qui répond le mieux à leurs besoins.</v>
      </c>
      <c r="BM27" s="39" t="str">
        <f t="shared" si="35"/>
        <v>La capacité des consommateurs potentiels à évaluer, choisir et déterminer le produit/service qui répond le mieux à leurs besoins.</v>
      </c>
      <c r="BN27" s="48" t="s">
        <v>807</v>
      </c>
      <c r="BO27" s="40" t="str">
        <f t="shared" ref="BO27:BW43" si="36">$BX27</f>
        <v>Seuls quelques consommateurs perçoivent la technologie de manière positive, la plupart n'étant pas conscients de ses avantages (&lt; 20 %).</v>
      </c>
      <c r="BP27" s="40" t="str">
        <f t="shared" si="36"/>
        <v>Seuls quelques consommateurs perçoivent la technologie de manière positive, la plupart n'étant pas conscients de ses avantages (&lt; 20 %).</v>
      </c>
      <c r="BQ27" s="40" t="str">
        <f t="shared" si="36"/>
        <v>Seuls quelques consommateurs perçoivent la technologie de manière positive, la plupart n'étant pas conscients de ses avantages (&lt; 20 %).</v>
      </c>
      <c r="BR27" s="40" t="str">
        <f t="shared" si="36"/>
        <v>Seuls quelques consommateurs perçoivent la technologie de manière positive, la plupart n'étant pas conscients de ses avantages (&lt; 20 %).</v>
      </c>
      <c r="BS27" s="40" t="str">
        <f t="shared" si="36"/>
        <v>Seuls quelques consommateurs perçoivent la technologie de manière positive, la plupart n'étant pas conscients de ses avantages (&lt; 20 %).</v>
      </c>
      <c r="BT27" s="40" t="str">
        <f t="shared" si="36"/>
        <v>Seuls quelques consommateurs perçoivent la technologie de manière positive, la plupart n'étant pas conscients de ses avantages (&lt; 20 %).</v>
      </c>
      <c r="BU27" s="40" t="str">
        <f t="shared" si="36"/>
        <v>Seuls quelques consommateurs perçoivent la technologie de manière positive, la plupart n'étant pas conscients de ses avantages (&lt; 20 %).</v>
      </c>
      <c r="BV27" s="40" t="str">
        <f t="shared" si="36"/>
        <v>Seuls quelques consommateurs perçoivent la technologie de manière positive, la plupart n'étant pas conscients de ses avantages (&lt; 20 %).</v>
      </c>
      <c r="BW27" s="40" t="str">
        <f t="shared" si="36"/>
        <v>Seuls quelques consommateurs perçoivent la technologie de manière positive, la plupart n'étant pas conscients de ses avantages (&lt; 20 %).</v>
      </c>
      <c r="BX27" s="40" t="s">
        <v>876</v>
      </c>
      <c r="BY27" s="41" t="str">
        <f t="shared" ref="BY27:CG43" si="37">$CH27</f>
        <v>Davantage de consommateurs perçoivent la technologie de manière positive, car ils sont conscients de ses avantages (21-40%).</v>
      </c>
      <c r="BZ27" s="41" t="str">
        <f t="shared" si="37"/>
        <v>Davantage de consommateurs perçoivent la technologie de manière positive, car ils sont conscients de ses avantages (21-40%).</v>
      </c>
      <c r="CA27" s="41" t="str">
        <f t="shared" si="37"/>
        <v>Davantage de consommateurs perçoivent la technologie de manière positive, car ils sont conscients de ses avantages (21-40%).</v>
      </c>
      <c r="CB27" s="41" t="str">
        <f t="shared" si="37"/>
        <v>Davantage de consommateurs perçoivent la technologie de manière positive, car ils sont conscients de ses avantages (21-40%).</v>
      </c>
      <c r="CC27" s="41" t="str">
        <f t="shared" si="37"/>
        <v>Davantage de consommateurs perçoivent la technologie de manière positive, car ils sont conscients de ses avantages (21-40%).</v>
      </c>
      <c r="CD27" s="41" t="str">
        <f t="shared" si="37"/>
        <v>Davantage de consommateurs perçoivent la technologie de manière positive, car ils sont conscients de ses avantages (21-40%).</v>
      </c>
      <c r="CE27" s="41" t="str">
        <f t="shared" si="37"/>
        <v>Davantage de consommateurs perçoivent la technologie de manière positive, car ils sont conscients de ses avantages (21-40%).</v>
      </c>
      <c r="CF27" s="41" t="str">
        <f t="shared" si="37"/>
        <v>Davantage de consommateurs perçoivent la technologie de manière positive, car ils sont conscients de ses avantages (21-40%).</v>
      </c>
      <c r="CG27" s="41" t="str">
        <f t="shared" si="37"/>
        <v>Davantage de consommateurs perçoivent la technologie de manière positive, car ils sont conscients de ses avantages (21-40%).</v>
      </c>
      <c r="CH27" s="41" t="s">
        <v>924</v>
      </c>
      <c r="CI27" s="42" t="str">
        <f t="shared" ref="CI27:CQ43" si="38">$CR27</f>
        <v>Les consommateurs perçoivent la technologie de manière positive (41-60 %), car la plupart d'entre eux sont conscients de ses avantages et savent reconnaître les produits de mauvaise qualité.</v>
      </c>
      <c r="CJ27" s="42" t="str">
        <f t="shared" si="38"/>
        <v>Les consommateurs perçoivent la technologie de manière positive (41-60 %), car la plupart d'entre eux sont conscients de ses avantages et savent reconnaître les produits de mauvaise qualité.</v>
      </c>
      <c r="CK27" s="42" t="str">
        <f t="shared" si="38"/>
        <v>Les consommateurs perçoivent la technologie de manière positive (41-60 %), car la plupart d'entre eux sont conscients de ses avantages et savent reconnaître les produits de mauvaise qualité.</v>
      </c>
      <c r="CL27" s="42" t="str">
        <f t="shared" si="38"/>
        <v>Les consommateurs perçoivent la technologie de manière positive (41-60 %), car la plupart d'entre eux sont conscients de ses avantages et savent reconnaître les produits de mauvaise qualité.</v>
      </c>
      <c r="CM27" s="42" t="str">
        <f t="shared" si="38"/>
        <v>Les consommateurs perçoivent la technologie de manière positive (41-60 %), car la plupart d'entre eux sont conscients de ses avantages et savent reconnaître les produits de mauvaise qualité.</v>
      </c>
      <c r="CN27" s="42" t="str">
        <f t="shared" si="38"/>
        <v>Les consommateurs perçoivent la technologie de manière positive (41-60 %), car la plupart d'entre eux sont conscients de ses avantages et savent reconnaître les produits de mauvaise qualité.</v>
      </c>
      <c r="CO27" s="42" t="str">
        <f t="shared" si="38"/>
        <v>Les consommateurs perçoivent la technologie de manière positive (41-60 %), car la plupart d'entre eux sont conscients de ses avantages et savent reconnaître les produits de mauvaise qualité.</v>
      </c>
      <c r="CP27" s="42" t="str">
        <f t="shared" si="38"/>
        <v>Les consommateurs perçoivent la technologie de manière positive (41-60 %), car la plupart d'entre eux sont conscients de ses avantages et savent reconnaître les produits de mauvaise qualité.</v>
      </c>
      <c r="CQ27" s="42" t="str">
        <f t="shared" si="38"/>
        <v>Les consommateurs perçoivent la technologie de manière positive (41-60 %), car la plupart d'entre eux sont conscients de ses avantages et savent reconnaître les produits de mauvaise qualité.</v>
      </c>
      <c r="CR27" s="42" t="s">
        <v>958</v>
      </c>
      <c r="CS27" s="43" t="str">
        <f t="shared" ref="CS27:DA43" si="39">$DB27</f>
        <v>Tous les consommateurs ont une perception positive de la technologie en général, car ils sont conscients de ses avantages et savent reconnaître les produits de mauvaise qualité (61-80 %).</v>
      </c>
      <c r="CT27" s="43" t="str">
        <f t="shared" si="39"/>
        <v>Tous les consommateurs ont une perception positive de la technologie en général, car ils sont conscients de ses avantages et savent reconnaître les produits de mauvaise qualité (61-80 %).</v>
      </c>
      <c r="CU27" s="43" t="str">
        <f t="shared" si="39"/>
        <v>Tous les consommateurs ont une perception positive de la technologie en général, car ils sont conscients de ses avantages et savent reconnaître les produits de mauvaise qualité (61-80 %).</v>
      </c>
      <c r="CV27" s="43" t="str">
        <f t="shared" si="39"/>
        <v>Tous les consommateurs ont une perception positive de la technologie en général, car ils sont conscients de ses avantages et savent reconnaître les produits de mauvaise qualité (61-80 %).</v>
      </c>
      <c r="CW27" s="43" t="str">
        <f t="shared" si="39"/>
        <v>Tous les consommateurs ont une perception positive de la technologie en général, car ils sont conscients de ses avantages et savent reconnaître les produits de mauvaise qualité (61-80 %).</v>
      </c>
      <c r="CX27" s="43" t="str">
        <f t="shared" si="39"/>
        <v>Tous les consommateurs ont une perception positive de la technologie en général, car ils sont conscients de ses avantages et savent reconnaître les produits de mauvaise qualité (61-80 %).</v>
      </c>
      <c r="CY27" s="43" t="str">
        <f t="shared" si="39"/>
        <v>Tous les consommateurs ont une perception positive de la technologie en général, car ils sont conscients de ses avantages et savent reconnaître les produits de mauvaise qualité (61-80 %).</v>
      </c>
      <c r="CZ27" s="43" t="str">
        <f t="shared" si="39"/>
        <v>Tous les consommateurs ont une perception positive de la technologie en général, car ils sont conscients de ses avantages et savent reconnaître les produits de mauvaise qualité (61-80 %).</v>
      </c>
      <c r="DA27" s="43" t="str">
        <f t="shared" si="39"/>
        <v>Tous les consommateurs ont une perception positive de la technologie en général, car ils sont conscients de ses avantages et savent reconnaître les produits de mauvaise qualité (61-80 %).</v>
      </c>
      <c r="DB27" s="43" t="s">
        <v>986</v>
      </c>
      <c r="DC27" s="441"/>
    </row>
    <row r="28" spans="1:107" ht="80.099999999999994" customHeight="1" thickTop="1" thickBot="1" x14ac:dyDescent="0.25">
      <c r="A28" s="244"/>
      <c r="B28" s="543"/>
      <c r="C28" s="650" t="s">
        <v>313</v>
      </c>
      <c r="D28" s="304" t="s">
        <v>20</v>
      </c>
      <c r="E28" s="305" t="s">
        <v>328</v>
      </c>
      <c r="F28" s="39" t="str">
        <f t="shared" si="30"/>
        <v>Only relevant for productive use of energy: Percentage of users who increase their revenue by using the product/service.</v>
      </c>
      <c r="G28" s="39" t="str">
        <f t="shared" si="30"/>
        <v>Only relevant for productive use of energy: Percentage of users who increase their revenue by using the product/service.</v>
      </c>
      <c r="H28" s="39" t="str">
        <f t="shared" si="30"/>
        <v>Only relevant for productive use of energy: Percentage of users who increase their revenue by using the product/service.</v>
      </c>
      <c r="I28" s="39" t="str">
        <f t="shared" si="30"/>
        <v>Only relevant for productive use of energy: Percentage of users who increase their revenue by using the product/service.</v>
      </c>
      <c r="J28" s="39" t="s">
        <v>547</v>
      </c>
      <c r="K28" s="39" t="str">
        <f t="shared" si="30"/>
        <v>Only relevant for productive use of energy: Percentage of users who increase their revenue by using the product/service.</v>
      </c>
      <c r="L28" s="39" t="str">
        <f t="shared" si="30"/>
        <v>Only relevant for productive use of energy: Percentage of users who increase their revenue by using the product/service.</v>
      </c>
      <c r="M28" s="39" t="str">
        <f t="shared" si="30"/>
        <v>Only relevant for productive use of energy: Percentage of users who increase their revenue by using the product/service.</v>
      </c>
      <c r="N28" s="39" t="str">
        <f t="shared" si="30"/>
        <v>Only relevant for productive use of energy: Percentage of users who increase their revenue by using the product/service.</v>
      </c>
      <c r="O28" s="39" t="s">
        <v>735</v>
      </c>
      <c r="P28" s="40" t="str">
        <f t="shared" si="31"/>
        <v>&lt;40% experience a growth in revenue. There is a low profit margin on the revenue generating products and/or poor market access</v>
      </c>
      <c r="Q28" s="40" t="str">
        <f t="shared" si="31"/>
        <v>&lt;40% experience a growth in revenue. There is a low profit margin on the revenue generating products and/or poor market access</v>
      </c>
      <c r="R28" s="40" t="str">
        <f t="shared" si="31"/>
        <v>&lt;40% experience a growth in revenue. There is a low profit margin on the revenue generating products and/or poor market access</v>
      </c>
      <c r="S28" s="40" t="str">
        <f t="shared" si="31"/>
        <v>&lt;40% experience a growth in revenue. There is a low profit margin on the revenue generating products and/or poor market access</v>
      </c>
      <c r="T28" s="40" t="s">
        <v>1047</v>
      </c>
      <c r="U28" s="40" t="str">
        <f t="shared" si="31"/>
        <v>&lt;40% experience a growth in revenue. There is a low profit margin on the revenue generating products and/or poor market access</v>
      </c>
      <c r="V28" s="40" t="str">
        <f t="shared" si="31"/>
        <v>&lt;40% experience a growth in revenue. There is a low profit margin on the revenue generating products and/or poor market access</v>
      </c>
      <c r="W28" s="40" t="str">
        <f t="shared" si="31"/>
        <v>&lt;40% experience a growth in revenue. There is a low profit margin on the revenue generating products and/or poor market access</v>
      </c>
      <c r="X28" s="40" t="str">
        <f t="shared" si="31"/>
        <v>&lt;40% experience a growth in revenue. There is a low profit margin on the revenue generating products and/or poor market access</v>
      </c>
      <c r="Y28" s="40" t="s">
        <v>548</v>
      </c>
      <c r="Z28" s="41" t="str">
        <f t="shared" si="32"/>
        <v>40-60% increase their revenue. The profit margin on the products is low-medium with better market access.</v>
      </c>
      <c r="AA28" s="41" t="str">
        <f t="shared" si="32"/>
        <v>40-60% increase their revenue. The profit margin on the products is low-medium with better market access.</v>
      </c>
      <c r="AB28" s="41" t="str">
        <f t="shared" si="32"/>
        <v>40-60% increase their revenue. The profit margin on the products is low-medium with better market access.</v>
      </c>
      <c r="AC28" s="41" t="str">
        <f t="shared" si="32"/>
        <v>40-60% increase their revenue. The profit margin on the products is low-medium with better market access.</v>
      </c>
      <c r="AD28" s="41" t="s">
        <v>549</v>
      </c>
      <c r="AE28" s="41" t="str">
        <f t="shared" si="32"/>
        <v>40-60% increase their revenue. The profit margin on the products is low-medium with better market access.</v>
      </c>
      <c r="AF28" s="41" t="str">
        <f t="shared" si="32"/>
        <v>40-60% increase their revenue. The profit margin on the products is low-medium with better market access.</v>
      </c>
      <c r="AG28" s="41" t="str">
        <f t="shared" si="32"/>
        <v>40-60% increase their revenue. The profit margin on the products is low-medium with better market access.</v>
      </c>
      <c r="AH28" s="41" t="str">
        <f t="shared" si="32"/>
        <v>40-60% increase their revenue. The profit margin on the products is low-medium with better market access.</v>
      </c>
      <c r="AI28" s="41" t="s">
        <v>550</v>
      </c>
      <c r="AJ28" s="42" t="str">
        <f t="shared" si="33"/>
        <v>60-80% increase revenue from using the technology. It is common among productive end users.</v>
      </c>
      <c r="AK28" s="42" t="str">
        <f t="shared" si="33"/>
        <v>60-80% increase revenue from using the technology. It is common among productive end users.</v>
      </c>
      <c r="AL28" s="42" t="str">
        <f t="shared" si="33"/>
        <v>60-80% increase revenue from using the technology. It is common among productive end users.</v>
      </c>
      <c r="AM28" s="42" t="str">
        <f t="shared" si="33"/>
        <v>60-80% increase revenue from using the technology. It is common among productive end users.</v>
      </c>
      <c r="AN28" s="42" t="s">
        <v>551</v>
      </c>
      <c r="AO28" s="42" t="str">
        <f t="shared" si="33"/>
        <v>60-80% increase revenue from using the technology. It is common among productive end users.</v>
      </c>
      <c r="AP28" s="42" t="str">
        <f t="shared" si="33"/>
        <v>60-80% increase revenue from using the technology. It is common among productive end users.</v>
      </c>
      <c r="AQ28" s="42" t="str">
        <f t="shared" si="33"/>
        <v>60-80% increase revenue from using the technology. It is common among productive end users.</v>
      </c>
      <c r="AR28" s="42" t="str">
        <f t="shared" si="33"/>
        <v>60-80% increase revenue from using the technology. It is common among productive end users.</v>
      </c>
      <c r="AS28" s="42" t="s">
        <v>959</v>
      </c>
      <c r="AT28" s="43" t="str">
        <f t="shared" si="34"/>
        <v>Close to a 100% increase their revenue from using the technology</v>
      </c>
      <c r="AU28" s="43" t="str">
        <f t="shared" si="34"/>
        <v>Close to a 100% increase their revenue from using the technology</v>
      </c>
      <c r="AV28" s="43" t="str">
        <f t="shared" si="34"/>
        <v>Close to a 100% increase their revenue from using the technology</v>
      </c>
      <c r="AW28" s="43" t="str">
        <f t="shared" si="34"/>
        <v>Close to a 100% increase their revenue from using the technology</v>
      </c>
      <c r="AX28" s="43" t="s">
        <v>552</v>
      </c>
      <c r="AY28" s="43" t="str">
        <f t="shared" si="34"/>
        <v>Close to a 100% increase their revenue from using the technology</v>
      </c>
      <c r="AZ28" s="43" t="str">
        <f t="shared" si="34"/>
        <v>Close to a 100% increase their revenue from using the technology</v>
      </c>
      <c r="BA28" s="43" t="str">
        <f t="shared" si="34"/>
        <v>Close to a 100% increase their revenue from using the technology</v>
      </c>
      <c r="BB28" s="43" t="str">
        <f t="shared" si="34"/>
        <v>Close to a 100% increase their revenue from using the technology</v>
      </c>
      <c r="BC28" s="43" t="s">
        <v>553</v>
      </c>
      <c r="BD28" s="244"/>
      <c r="BE28" s="39" t="str">
        <f t="shared" si="35"/>
        <v>Uniquement pour l'utilisation productive de l'énergie : Pourcentage d'utilisateurs qui augmentent leurs revenus en utilisant le produit/service.</v>
      </c>
      <c r="BF28" s="39" t="str">
        <f t="shared" si="35"/>
        <v>Uniquement pour l'utilisation productive de l'énergie : Pourcentage d'utilisateurs qui augmentent leurs revenus en utilisant le produit/service.</v>
      </c>
      <c r="BG28" s="39" t="str">
        <f t="shared" si="35"/>
        <v>Uniquement pour l'utilisation productive de l'énergie : Pourcentage d'utilisateurs qui augmentent leurs revenus en utilisant le produit/service.</v>
      </c>
      <c r="BH28" s="39" t="str">
        <f t="shared" si="35"/>
        <v>Uniquement pour l'utilisation productive de l'énergie : Pourcentage d'utilisateurs qui augmentent leurs revenus en utilisant le produit/service.</v>
      </c>
      <c r="BI28" s="39" t="s">
        <v>825</v>
      </c>
      <c r="BJ28" s="39" t="str">
        <f t="shared" si="35"/>
        <v>Uniquement pour l'utilisation productive de l'énergie : Pourcentage d'utilisateurs qui augmentent leurs revenus en utilisant le produit/service.</v>
      </c>
      <c r="BK28" s="39" t="str">
        <f t="shared" si="35"/>
        <v>Uniquement pour l'utilisation productive de l'énergie : Pourcentage d'utilisateurs qui augmentent leurs revenus en utilisant le produit/service.</v>
      </c>
      <c r="BL28" s="39" t="str">
        <f t="shared" si="35"/>
        <v>Uniquement pour l'utilisation productive de l'énergie : Pourcentage d'utilisateurs qui augmentent leurs revenus en utilisant le produit/service.</v>
      </c>
      <c r="BM28" s="39" t="str">
        <f t="shared" si="35"/>
        <v>Uniquement pour l'utilisation productive de l'énergie : Pourcentage d'utilisateurs qui augmentent leurs revenus en utilisant le produit/service.</v>
      </c>
      <c r="BN28" s="48" t="s">
        <v>840</v>
      </c>
      <c r="BO28" s="40" t="str">
        <f t="shared" si="36"/>
        <v>Moins de 40 % des entreprises connaissent une croissance de leur chiffre d'affaires. La marge bénéficiaire des produits générateurs de revenus est faible et/ou l'accès au marché est médiocre.</v>
      </c>
      <c r="BP28" s="40" t="str">
        <f t="shared" si="36"/>
        <v>Moins de 40 % des entreprises connaissent une croissance de leur chiffre d'affaires. La marge bénéficiaire des produits générateurs de revenus est faible et/ou l'accès au marché est médiocre.</v>
      </c>
      <c r="BQ28" s="40" t="str">
        <f t="shared" si="36"/>
        <v>Moins de 40 % des entreprises connaissent une croissance de leur chiffre d'affaires. La marge bénéficiaire des produits générateurs de revenus est faible et/ou l'accès au marché est médiocre.</v>
      </c>
      <c r="BR28" s="40" t="str">
        <f t="shared" si="36"/>
        <v>Moins de 40 % des entreprises connaissent une croissance de leur chiffre d'affaires. La marge bénéficiaire des produits générateurs de revenus est faible et/ou l'accès au marché est médiocre.</v>
      </c>
      <c r="BS28" s="40" t="s">
        <v>878</v>
      </c>
      <c r="BT28" s="40" t="str">
        <f t="shared" si="36"/>
        <v>Moins de 40 % des entreprises connaissent une croissance de leur chiffre d'affaires. La marge bénéficiaire des produits générateurs de revenus est faible et/ou l'accès au marché est médiocre.</v>
      </c>
      <c r="BU28" s="40" t="str">
        <f t="shared" si="36"/>
        <v>Moins de 40 % des entreprises connaissent une croissance de leur chiffre d'affaires. La marge bénéficiaire des produits générateurs de revenus est faible et/ou l'accès au marché est médiocre.</v>
      </c>
      <c r="BV28" s="40" t="str">
        <f t="shared" si="36"/>
        <v>Moins de 40 % des entreprises connaissent une croissance de leur chiffre d'affaires. La marge bénéficiaire des produits générateurs de revenus est faible et/ou l'accès au marché est médiocre.</v>
      </c>
      <c r="BW28" s="40" t="str">
        <f t="shared" si="36"/>
        <v>Moins de 40 % des entreprises connaissent une croissance de leur chiffre d'affaires. La marge bénéficiaire des produits générateurs de revenus est faible et/ou l'accès au marché est médiocre.</v>
      </c>
      <c r="BX28" s="40" t="s">
        <v>877</v>
      </c>
      <c r="BY28" s="41" t="str">
        <f t="shared" si="37"/>
        <v>40-60% augmentent leurs revenus. La marge bénéficiaire sur les produits est faible à moyenne avec un meilleur accès au marché.</v>
      </c>
      <c r="BZ28" s="41" t="str">
        <f t="shared" si="37"/>
        <v>40-60% augmentent leurs revenus. La marge bénéficiaire sur les produits est faible à moyenne avec un meilleur accès au marché.</v>
      </c>
      <c r="CA28" s="41" t="str">
        <f t="shared" si="37"/>
        <v>40-60% augmentent leurs revenus. La marge bénéficiaire sur les produits est faible à moyenne avec un meilleur accès au marché.</v>
      </c>
      <c r="CB28" s="41" t="str">
        <f t="shared" si="37"/>
        <v>40-60% augmentent leurs revenus. La marge bénéficiaire sur les produits est faible à moyenne avec un meilleur accès au marché.</v>
      </c>
      <c r="CC28" s="41" t="s">
        <v>926</v>
      </c>
      <c r="CD28" s="41" t="str">
        <f t="shared" si="37"/>
        <v>40-60% augmentent leurs revenus. La marge bénéficiaire sur les produits est faible à moyenne avec un meilleur accès au marché.</v>
      </c>
      <c r="CE28" s="41" t="str">
        <f t="shared" si="37"/>
        <v>40-60% augmentent leurs revenus. La marge bénéficiaire sur les produits est faible à moyenne avec un meilleur accès au marché.</v>
      </c>
      <c r="CF28" s="41" t="str">
        <f t="shared" si="37"/>
        <v>40-60% augmentent leurs revenus. La marge bénéficiaire sur les produits est faible à moyenne avec un meilleur accès au marché.</v>
      </c>
      <c r="CG28" s="41" t="str">
        <f t="shared" si="37"/>
        <v>40-60% augmentent leurs revenus. La marge bénéficiaire sur les produits est faible à moyenne avec un meilleur accès au marché.</v>
      </c>
      <c r="CH28" s="41" t="s">
        <v>925</v>
      </c>
      <c r="CI28" s="42"/>
      <c r="CJ28" s="42"/>
      <c r="CK28" s="42"/>
      <c r="CL28" s="42" t="str">
        <f t="shared" si="38"/>
        <v>60 à 80 % augmentent leurs revenus grâce à l'utilisation de la technologie. Ce phénomène est courant chez les utilisateurs finaux qui produissent.</v>
      </c>
      <c r="CM28" s="42" t="s">
        <v>974</v>
      </c>
      <c r="CN28" s="42" t="str">
        <f t="shared" si="38"/>
        <v>60 à 80 % augmentent leurs revenus grâce à l'utilisation de la technologie. Ce phénomène est courant chez les utilisateurs finaux qui produissent.</v>
      </c>
      <c r="CO28" s="42" t="str">
        <f t="shared" si="38"/>
        <v>60 à 80 % augmentent leurs revenus grâce à l'utilisation de la technologie. Ce phénomène est courant chez les utilisateurs finaux qui produissent.</v>
      </c>
      <c r="CP28" s="42" t="str">
        <f t="shared" si="38"/>
        <v>60 à 80 % augmentent leurs revenus grâce à l'utilisation de la technologie. Ce phénomène est courant chez les utilisateurs finaux qui produissent.</v>
      </c>
      <c r="CQ28" s="42" t="str">
        <f t="shared" si="38"/>
        <v>60 à 80 % augmentent leurs revenus grâce à l'utilisation de la technologie. Ce phénomène est courant chez les utilisateurs finaux qui produissent.</v>
      </c>
      <c r="CR28" s="42" t="s">
        <v>960</v>
      </c>
      <c r="CS28" s="43" t="str">
        <f t="shared" si="39"/>
        <v>Près de 100 % des utilisateurs augmentent leurs revenus grâce à l'utilisation de la technologie.</v>
      </c>
      <c r="CT28" s="43" t="str">
        <f t="shared" si="39"/>
        <v>Près de 100 % des utilisateurs augmentent leurs revenus grâce à l'utilisation de la technologie.</v>
      </c>
      <c r="CU28" s="43" t="str">
        <f t="shared" si="39"/>
        <v>Près de 100 % des utilisateurs augmentent leurs revenus grâce à l'utilisation de la technologie.</v>
      </c>
      <c r="CV28" s="43" t="str">
        <f t="shared" si="39"/>
        <v>Près de 100 % des utilisateurs augmentent leurs revenus grâce à l'utilisation de la technologie.</v>
      </c>
      <c r="CW28" s="43" t="s">
        <v>1014</v>
      </c>
      <c r="CX28" s="43" t="str">
        <f t="shared" si="39"/>
        <v>Près de 100 % des utilisateurs augmentent leurs revenus grâce à l'utilisation de la technologie.</v>
      </c>
      <c r="CY28" s="43" t="str">
        <f t="shared" si="39"/>
        <v>Près de 100 % des utilisateurs augmentent leurs revenus grâce à l'utilisation de la technologie.</v>
      </c>
      <c r="CZ28" s="43" t="str">
        <f t="shared" si="39"/>
        <v>Près de 100 % des utilisateurs augmentent leurs revenus grâce à l'utilisation de la technologie.</v>
      </c>
      <c r="DA28" s="43" t="str">
        <f t="shared" si="39"/>
        <v>Près de 100 % des utilisateurs augmentent leurs revenus grâce à l'utilisation de la technologie.</v>
      </c>
      <c r="DB28" s="43" t="s">
        <v>987</v>
      </c>
      <c r="DC28" s="441"/>
    </row>
    <row r="29" spans="1:107" ht="80.099999999999994" customHeight="1" thickTop="1" thickBot="1" x14ac:dyDescent="0.25">
      <c r="A29" s="244"/>
      <c r="B29" s="544"/>
      <c r="C29" s="651"/>
      <c r="D29" s="304" t="s">
        <v>21</v>
      </c>
      <c r="E29" s="305" t="s">
        <v>685</v>
      </c>
      <c r="F29" s="39" t="str">
        <f t="shared" si="30"/>
        <v>Only relevant for productive use of energy: The capacity of end-users to invest in the technology and associated products needed to increase production.</v>
      </c>
      <c r="G29" s="39" t="str">
        <f t="shared" si="30"/>
        <v>Only relevant for productive use of energy: The capacity of end-users to invest in the technology and associated products needed to increase production.</v>
      </c>
      <c r="H29" s="39" t="str">
        <f t="shared" si="30"/>
        <v>Only relevant for productive use of energy: The capacity of end-users to invest in the technology and associated products needed to increase production.</v>
      </c>
      <c r="I29" s="39" t="str">
        <f t="shared" si="30"/>
        <v>Only relevant for productive use of energy: The capacity of end-users to invest in the technology and associated products needed to increase production.</v>
      </c>
      <c r="J29" s="39" t="s">
        <v>554</v>
      </c>
      <c r="K29" s="39" t="str">
        <f t="shared" si="30"/>
        <v>Only relevant for productive use of energy: The capacity of end-users to invest in the technology and associated products needed to increase production.</v>
      </c>
      <c r="L29" s="39" t="str">
        <f t="shared" si="30"/>
        <v>Only relevant for productive use of energy: The capacity of end-users to invest in the technology and associated products needed to increase production.</v>
      </c>
      <c r="M29" s="39" t="str">
        <f t="shared" si="30"/>
        <v>Only relevant for productive use of energy: The capacity of end-users to invest in the technology and associated products needed to increase production.</v>
      </c>
      <c r="N29" s="39" t="str">
        <f t="shared" si="30"/>
        <v>Only relevant for productive use of energy: The capacity of end-users to invest in the technology and associated products needed to increase production.</v>
      </c>
      <c r="O29" s="39" t="s">
        <v>1040</v>
      </c>
      <c r="P29" s="40" t="str">
        <f t="shared" si="31"/>
        <v>Almost all end users do not have economic capacity to make investments  to increase production.</v>
      </c>
      <c r="Q29" s="40" t="str">
        <f t="shared" si="31"/>
        <v>Almost all end users do not have economic capacity to make investments  to increase production.</v>
      </c>
      <c r="R29" s="40" t="str">
        <f t="shared" si="31"/>
        <v>Almost all end users do not have economic capacity to make investments  to increase production.</v>
      </c>
      <c r="S29" s="40" t="str">
        <f t="shared" si="31"/>
        <v>Almost all end users do not have economic capacity to make investments  to increase production.</v>
      </c>
      <c r="T29" s="40" t="str">
        <f t="shared" si="21"/>
        <v>Almost all end users do not have economic capacity to make investments  to increase production.</v>
      </c>
      <c r="U29" s="40" t="str">
        <f t="shared" si="31"/>
        <v>Almost all end users do not have economic capacity to make investments  to increase production.</v>
      </c>
      <c r="V29" s="40" t="str">
        <f t="shared" si="31"/>
        <v>Almost all end users do not have economic capacity to make investments  to increase production.</v>
      </c>
      <c r="W29" s="40" t="str">
        <f t="shared" si="31"/>
        <v>Almost all end users do not have economic capacity to make investments  to increase production.</v>
      </c>
      <c r="X29" s="40" t="str">
        <f t="shared" si="31"/>
        <v>Almost all end users do not have economic capacity to make investments  to increase production.</v>
      </c>
      <c r="Y29" s="40" t="s">
        <v>555</v>
      </c>
      <c r="Z29" s="41" t="str">
        <f t="shared" si="32"/>
        <v>Some end users have limited economic capacity to invest in production.</v>
      </c>
      <c r="AA29" s="41" t="str">
        <f t="shared" si="32"/>
        <v>Some end users have limited economic capacity to invest in production.</v>
      </c>
      <c r="AB29" s="41" t="str">
        <f t="shared" si="32"/>
        <v>Some end users have limited economic capacity to invest in production.</v>
      </c>
      <c r="AC29" s="41" t="str">
        <f t="shared" si="32"/>
        <v>Some end users have limited economic capacity to invest in production.</v>
      </c>
      <c r="AD29" s="41" t="str">
        <f t="shared" si="22"/>
        <v>Some end users have limited economic capacity to invest in production.</v>
      </c>
      <c r="AE29" s="41" t="str">
        <f t="shared" si="32"/>
        <v>Some end users have limited economic capacity to invest in production.</v>
      </c>
      <c r="AF29" s="41" t="str">
        <f t="shared" si="32"/>
        <v>Some end users have limited economic capacity to invest in production.</v>
      </c>
      <c r="AG29" s="41" t="str">
        <f t="shared" si="32"/>
        <v>Some end users have limited economic capacity to invest in production.</v>
      </c>
      <c r="AH29" s="41" t="str">
        <f t="shared" si="32"/>
        <v>Some end users have limited economic capacity to invest in production.</v>
      </c>
      <c r="AI29" s="41" t="s">
        <v>556</v>
      </c>
      <c r="AJ29" s="42" t="str">
        <f t="shared" si="33"/>
        <v>A substantial share of end users have economic capacity to invest in production.</v>
      </c>
      <c r="AK29" s="42" t="str">
        <f t="shared" si="33"/>
        <v>A substantial share of end users have economic capacity to invest in production.</v>
      </c>
      <c r="AL29" s="42" t="str">
        <f t="shared" si="33"/>
        <v>A substantial share of end users have economic capacity to invest in production.</v>
      </c>
      <c r="AM29" s="42" t="str">
        <f t="shared" si="33"/>
        <v>A substantial share of end users have economic capacity to invest in production.</v>
      </c>
      <c r="AN29" s="42" t="str">
        <f t="shared" si="23"/>
        <v>A substantial share of end users have economic capacity to invest in production.</v>
      </c>
      <c r="AO29" s="42" t="str">
        <f t="shared" si="33"/>
        <v>A substantial share of end users have economic capacity to invest in production.</v>
      </c>
      <c r="AP29" s="42" t="str">
        <f t="shared" si="33"/>
        <v>A substantial share of end users have economic capacity to invest in production.</v>
      </c>
      <c r="AQ29" s="42" t="str">
        <f t="shared" si="33"/>
        <v>A substantial share of end users have economic capacity to invest in production.</v>
      </c>
      <c r="AR29" s="42" t="str">
        <f t="shared" si="33"/>
        <v>A substantial share of end users have economic capacity to invest in production.</v>
      </c>
      <c r="AS29" s="42" t="s">
        <v>557</v>
      </c>
      <c r="AT29" s="43"/>
      <c r="AU29" s="43"/>
      <c r="AV29" s="43"/>
      <c r="AW29" s="43"/>
      <c r="AX29" s="43" t="str">
        <f t="shared" si="24"/>
        <v>Almost all end users have economic capacity to invest in their production.</v>
      </c>
      <c r="AY29" s="43"/>
      <c r="AZ29" s="43"/>
      <c r="BA29" s="43"/>
      <c r="BB29" s="43"/>
      <c r="BC29" s="43" t="s">
        <v>558</v>
      </c>
      <c r="BD29" s="244"/>
      <c r="BE29" s="39" t="str">
        <f t="shared" si="35"/>
        <v>Uniquement pour l'utilisation productive de l'énergie : Capacité des clients à investir dans la technologie et les produits associés pour l'augmentation de leur production.</v>
      </c>
      <c r="BF29" s="39" t="str">
        <f t="shared" si="35"/>
        <v>Uniquement pour l'utilisation productive de l'énergie : Capacité des clients à investir dans la technologie et les produits associés pour l'augmentation de leur production.</v>
      </c>
      <c r="BG29" s="39" t="str">
        <f t="shared" si="35"/>
        <v>Uniquement pour l'utilisation productive de l'énergie : Capacité des clients à investir dans la technologie et les produits associés pour l'augmentation de leur production.</v>
      </c>
      <c r="BH29" s="39" t="str">
        <f t="shared" si="35"/>
        <v>Uniquement pour l'utilisation productive de l'énergie : Capacité des clients à investir dans la technologie et les produits associés pour l'augmentation de leur production.</v>
      </c>
      <c r="BI29" s="39" t="s">
        <v>826</v>
      </c>
      <c r="BJ29" s="39" t="str">
        <f t="shared" si="35"/>
        <v>Uniquement pour l'utilisation productive de l'énergie : Capacité des clients à investir dans la technologie et les produits associés pour l'augmentation de leur production.</v>
      </c>
      <c r="BK29" s="39" t="str">
        <f t="shared" si="35"/>
        <v>Uniquement pour l'utilisation productive de l'énergie : Capacité des clients à investir dans la technologie et les produits associés pour l'augmentation de leur production.</v>
      </c>
      <c r="BL29" s="39" t="str">
        <f t="shared" si="35"/>
        <v>Uniquement pour l'utilisation productive de l'énergie : Capacité des clients à investir dans la technologie et les produits associés pour l'augmentation de leur production.</v>
      </c>
      <c r="BM29" s="39" t="str">
        <f t="shared" si="35"/>
        <v>Uniquement pour l'utilisation productive de l'énergie : Capacité des clients à investir dans la technologie et les produits associés pour l'augmentation de leur production.</v>
      </c>
      <c r="BN29" s="48" t="s">
        <v>839</v>
      </c>
      <c r="BO29" s="40" t="str">
        <f t="shared" si="36"/>
        <v>Presque tous les utilisateurs finaux n'ont pas la capacité économique de faire des investissements pour augmenter la production.</v>
      </c>
      <c r="BP29" s="40" t="str">
        <f t="shared" si="36"/>
        <v>Presque tous les utilisateurs finaux n'ont pas la capacité économique de faire des investissements pour augmenter la production.</v>
      </c>
      <c r="BQ29" s="40" t="str">
        <f t="shared" si="36"/>
        <v>Presque tous les utilisateurs finaux n'ont pas la capacité économique de faire des investissements pour augmenter la production.</v>
      </c>
      <c r="BR29" s="40" t="str">
        <f t="shared" si="36"/>
        <v>Presque tous les utilisateurs finaux n'ont pas la capacité économique de faire des investissements pour augmenter la production.</v>
      </c>
      <c r="BS29" s="40" t="str">
        <f t="shared" si="36"/>
        <v>Presque tous les utilisateurs finaux n'ont pas la capacité économique de faire des investissements pour augmenter la production.</v>
      </c>
      <c r="BT29" s="40" t="str">
        <f t="shared" si="36"/>
        <v>Presque tous les utilisateurs finaux n'ont pas la capacité économique de faire des investissements pour augmenter la production.</v>
      </c>
      <c r="BU29" s="40" t="str">
        <f t="shared" si="36"/>
        <v>Presque tous les utilisateurs finaux n'ont pas la capacité économique de faire des investissements pour augmenter la production.</v>
      </c>
      <c r="BV29" s="40" t="str">
        <f t="shared" si="36"/>
        <v>Presque tous les utilisateurs finaux n'ont pas la capacité économique de faire des investissements pour augmenter la production.</v>
      </c>
      <c r="BW29" s="40" t="str">
        <f t="shared" si="36"/>
        <v>Presque tous les utilisateurs finaux n'ont pas la capacité économique de faire des investissements pour augmenter la production.</v>
      </c>
      <c r="BX29" s="40" t="s">
        <v>879</v>
      </c>
      <c r="BY29" s="41" t="str">
        <f t="shared" si="37"/>
        <v>Certains utilisateurs finaux ont une capacité économique limitée pour investir dans la production.</v>
      </c>
      <c r="BZ29" s="41" t="str">
        <f t="shared" si="37"/>
        <v>Certains utilisateurs finaux ont une capacité économique limitée pour investir dans la production.</v>
      </c>
      <c r="CA29" s="41" t="str">
        <f t="shared" si="37"/>
        <v>Certains utilisateurs finaux ont une capacité économique limitée pour investir dans la production.</v>
      </c>
      <c r="CB29" s="41" t="str">
        <f t="shared" si="37"/>
        <v>Certains utilisateurs finaux ont une capacité économique limitée pour investir dans la production.</v>
      </c>
      <c r="CC29" s="41" t="str">
        <f t="shared" si="37"/>
        <v>Certains utilisateurs finaux ont une capacité économique limitée pour investir dans la production.</v>
      </c>
      <c r="CD29" s="41" t="str">
        <f t="shared" si="37"/>
        <v>Certains utilisateurs finaux ont une capacité économique limitée pour investir dans la production.</v>
      </c>
      <c r="CE29" s="41" t="str">
        <f t="shared" si="37"/>
        <v>Certains utilisateurs finaux ont une capacité économique limitée pour investir dans la production.</v>
      </c>
      <c r="CF29" s="41" t="str">
        <f t="shared" si="37"/>
        <v>Certains utilisateurs finaux ont une capacité économique limitée pour investir dans la production.</v>
      </c>
      <c r="CG29" s="41" t="str">
        <f t="shared" si="37"/>
        <v>Certains utilisateurs finaux ont une capacité économique limitée pour investir dans la production.</v>
      </c>
      <c r="CH29" s="41" t="s">
        <v>927</v>
      </c>
      <c r="CI29" s="42"/>
      <c r="CJ29" s="42"/>
      <c r="CK29" s="42"/>
      <c r="CL29" s="42" t="str">
        <f t="shared" si="38"/>
        <v>Une part importante des utilisateurs finaux ont la capacité économique d'investir dans la production.</v>
      </c>
      <c r="CM29" s="42" t="str">
        <f t="shared" si="38"/>
        <v>Une part importante des utilisateurs finaux ont la capacité économique d'investir dans la production.</v>
      </c>
      <c r="CN29" s="42" t="str">
        <f t="shared" si="38"/>
        <v>Une part importante des utilisateurs finaux ont la capacité économique d'investir dans la production.</v>
      </c>
      <c r="CO29" s="42" t="str">
        <f t="shared" si="38"/>
        <v>Une part importante des utilisateurs finaux ont la capacité économique d'investir dans la production.</v>
      </c>
      <c r="CP29" s="42" t="str">
        <f t="shared" si="38"/>
        <v>Une part importante des utilisateurs finaux ont la capacité économique d'investir dans la production.</v>
      </c>
      <c r="CQ29" s="42" t="str">
        <f t="shared" si="38"/>
        <v>Une part importante des utilisateurs finaux ont la capacité économique d'investir dans la production.</v>
      </c>
      <c r="CR29" s="42" t="s">
        <v>961</v>
      </c>
      <c r="CS29" s="43" t="str">
        <f t="shared" si="39"/>
        <v>Presque tous les utilisateurs finaux ont la capacité économique d'investir dans leur production.</v>
      </c>
      <c r="CT29" s="43" t="str">
        <f t="shared" si="39"/>
        <v>Presque tous les utilisateurs finaux ont la capacité économique d'investir dans leur production.</v>
      </c>
      <c r="CU29" s="43" t="str">
        <f t="shared" si="39"/>
        <v>Presque tous les utilisateurs finaux ont la capacité économique d'investir dans leur production.</v>
      </c>
      <c r="CV29" s="43" t="str">
        <f t="shared" si="39"/>
        <v>Presque tous les utilisateurs finaux ont la capacité économique d'investir dans leur production.</v>
      </c>
      <c r="CW29" s="43" t="str">
        <f t="shared" si="39"/>
        <v>Presque tous les utilisateurs finaux ont la capacité économique d'investir dans leur production.</v>
      </c>
      <c r="CX29" s="43" t="str">
        <f t="shared" si="39"/>
        <v>Presque tous les utilisateurs finaux ont la capacité économique d'investir dans leur production.</v>
      </c>
      <c r="CY29" s="43" t="str">
        <f t="shared" si="39"/>
        <v>Presque tous les utilisateurs finaux ont la capacité économique d'investir dans leur production.</v>
      </c>
      <c r="CZ29" s="43" t="str">
        <f t="shared" si="39"/>
        <v>Presque tous les utilisateurs finaux ont la capacité économique d'investir dans leur production.</v>
      </c>
      <c r="DA29" s="43" t="str">
        <f t="shared" si="39"/>
        <v>Presque tous les utilisateurs finaux ont la capacité économique d'investir dans leur production.</v>
      </c>
      <c r="DB29" s="43" t="s">
        <v>988</v>
      </c>
      <c r="DC29" s="441"/>
    </row>
    <row r="30" spans="1:107" ht="80.099999999999994" customHeight="1" thickTop="1" thickBot="1" x14ac:dyDescent="0.25">
      <c r="A30" s="244"/>
      <c r="B30" s="643" t="s">
        <v>170</v>
      </c>
      <c r="C30" s="489" t="s">
        <v>171</v>
      </c>
      <c r="D30" s="49" t="s">
        <v>46</v>
      </c>
      <c r="E30" s="48" t="s">
        <v>172</v>
      </c>
      <c r="F30" s="39" t="str">
        <f t="shared" si="30"/>
        <v>Targets and scope of energy access national/ regional programmes/ plans and milestones.</v>
      </c>
      <c r="G30" s="39" t="str">
        <f t="shared" si="30"/>
        <v>Targets and scope of energy access national/ regional programmes/ plans and milestones.</v>
      </c>
      <c r="H30" s="39" t="str">
        <f t="shared" si="30"/>
        <v>Targets and scope of energy access national/ regional programmes/ plans and milestones.</v>
      </c>
      <c r="I30" s="39" t="str">
        <f t="shared" si="30"/>
        <v>Targets and scope of energy access national/ regional programmes/ plans and milestones.</v>
      </c>
      <c r="J30" s="48" t="s">
        <v>688</v>
      </c>
      <c r="K30" s="39" t="str">
        <f t="shared" si="30"/>
        <v>Targets and scope of energy access national/ regional programmes/ plans and milestones.</v>
      </c>
      <c r="L30" s="39" t="str">
        <f t="shared" si="30"/>
        <v>Targets and scope of energy access national/ regional programmes/ plans and milestones.</v>
      </c>
      <c r="M30" s="39" t="str">
        <f t="shared" si="30"/>
        <v>Targets and scope of energy access national/ regional programmes/ plans and milestones.</v>
      </c>
      <c r="N30" s="39" t="str">
        <f t="shared" si="30"/>
        <v>Targets and scope of energy access national/ regional programmes/ plans and milestones.</v>
      </c>
      <c r="O30" s="48" t="s">
        <v>736</v>
      </c>
      <c r="P30" s="40" t="str">
        <f t="shared" si="31"/>
        <v>National targets are non-existent.</v>
      </c>
      <c r="Q30" s="40" t="str">
        <f t="shared" si="31"/>
        <v>National targets are non-existent.</v>
      </c>
      <c r="R30" s="40" t="str">
        <f t="shared" si="31"/>
        <v>National targets are non-existent.</v>
      </c>
      <c r="S30" s="40" t="str">
        <f t="shared" si="31"/>
        <v>National targets are non-existent.</v>
      </c>
      <c r="T30" s="40" t="str">
        <f t="shared" si="31"/>
        <v>National targets are non-existent.</v>
      </c>
      <c r="U30" s="40" t="str">
        <f t="shared" si="31"/>
        <v>National targets are non-existent.</v>
      </c>
      <c r="V30" s="40" t="str">
        <f t="shared" si="31"/>
        <v>National targets are non-existent.</v>
      </c>
      <c r="W30" s="40" t="str">
        <f t="shared" si="31"/>
        <v>National targets are non-existent.</v>
      </c>
      <c r="X30" s="40" t="str">
        <f t="shared" si="31"/>
        <v>National targets are non-existent.</v>
      </c>
      <c r="Y30" s="40" t="s">
        <v>559</v>
      </c>
      <c r="Z30" s="41" t="str">
        <f t="shared" si="32"/>
        <v>National targets are planned but not yet finally adopted.</v>
      </c>
      <c r="AA30" s="41" t="str">
        <f t="shared" si="32"/>
        <v>National targets are planned but not yet finally adopted.</v>
      </c>
      <c r="AB30" s="41" t="str">
        <f t="shared" si="32"/>
        <v>National targets are planned but not yet finally adopted.</v>
      </c>
      <c r="AC30" s="41" t="str">
        <f t="shared" si="32"/>
        <v>National targets are planned but not yet finally adopted.</v>
      </c>
      <c r="AD30" s="41" t="str">
        <f t="shared" si="32"/>
        <v>National targets are planned but not yet finally adopted.</v>
      </c>
      <c r="AE30" s="41" t="str">
        <f t="shared" si="32"/>
        <v>National targets are planned but not yet finally adopted.</v>
      </c>
      <c r="AF30" s="41" t="str">
        <f t="shared" si="32"/>
        <v>National targets are planned but not yet finally adopted.</v>
      </c>
      <c r="AG30" s="41" t="str">
        <f t="shared" si="32"/>
        <v>National targets are planned but not yet finally adopted.</v>
      </c>
      <c r="AH30" s="41" t="str">
        <f t="shared" si="32"/>
        <v>National targets are planned but not yet finally adopted.</v>
      </c>
      <c r="AI30" s="41" t="s">
        <v>715</v>
      </c>
      <c r="AJ30" s="42" t="str">
        <f t="shared" si="33"/>
        <v>National targets are in place and adopted and, to some extent, monitored.</v>
      </c>
      <c r="AK30" s="42" t="str">
        <f t="shared" si="33"/>
        <v>National targets are in place and adopted and, to some extent, monitored.</v>
      </c>
      <c r="AL30" s="42" t="str">
        <f t="shared" si="33"/>
        <v>National targets are in place and adopted and, to some extent, monitored.</v>
      </c>
      <c r="AM30" s="42" t="str">
        <f t="shared" si="33"/>
        <v>National targets are in place and adopted and, to some extent, monitored.</v>
      </c>
      <c r="AN30" s="42" t="str">
        <f t="shared" si="33"/>
        <v>National targets are in place and adopted and, to some extent, monitored.</v>
      </c>
      <c r="AO30" s="42" t="str">
        <f t="shared" si="33"/>
        <v>National targets are in place and adopted and, to some extent, monitored.</v>
      </c>
      <c r="AP30" s="42" t="str">
        <f t="shared" si="33"/>
        <v>National targets are in place and adopted and, to some extent, monitored.</v>
      </c>
      <c r="AQ30" s="42" t="str">
        <f t="shared" si="33"/>
        <v>National targets are in place and adopted and, to some extent, monitored.</v>
      </c>
      <c r="AR30" s="42" t="str">
        <f t="shared" si="33"/>
        <v>National targets are in place and adopted and, to some extent, monitored.</v>
      </c>
      <c r="AS30" s="42" t="s">
        <v>716</v>
      </c>
      <c r="AT30" s="43" t="str">
        <f t="shared" si="34"/>
        <v>National targets are effectively monitored and play a role for policy development and dialogue.</v>
      </c>
      <c r="AU30" s="43" t="str">
        <f t="shared" si="34"/>
        <v>National targets are effectively monitored and play a role for policy development and dialogue.</v>
      </c>
      <c r="AV30" s="43" t="str">
        <f t="shared" si="34"/>
        <v>National targets are effectively monitored and play a role for policy development and dialogue.</v>
      </c>
      <c r="AW30" s="43" t="str">
        <f t="shared" si="34"/>
        <v>National targets are effectively monitored and play a role for policy development and dialogue.</v>
      </c>
      <c r="AX30" s="43" t="str">
        <f t="shared" si="34"/>
        <v>National targets are effectively monitored and play a role for policy development and dialogue.</v>
      </c>
      <c r="AY30" s="43" t="str">
        <f t="shared" si="34"/>
        <v>National targets are effectively monitored and play a role for policy development and dialogue.</v>
      </c>
      <c r="AZ30" s="43" t="str">
        <f t="shared" si="34"/>
        <v>National targets are effectively monitored and play a role for policy development and dialogue.</v>
      </c>
      <c r="BA30" s="43" t="str">
        <f t="shared" si="34"/>
        <v>National targets are effectively monitored and play a role for policy development and dialogue.</v>
      </c>
      <c r="BB30" s="43" t="str">
        <f t="shared" si="34"/>
        <v>National targets are effectively monitored and play a role for policy development and dialogue.</v>
      </c>
      <c r="BC30" s="43" t="s">
        <v>717</v>
      </c>
      <c r="BD30" s="244"/>
      <c r="BE30" s="39" t="str">
        <f t="shared" si="35"/>
        <v>Objectifs et portée des programmes/ plans nationaux/ régionaux d'accès à l'énergie.</v>
      </c>
      <c r="BF30" s="39" t="str">
        <f t="shared" si="35"/>
        <v>Objectifs et portée des programmes/ plans nationaux/ régionaux d'accès à l'énergie.</v>
      </c>
      <c r="BG30" s="39" t="str">
        <f t="shared" si="35"/>
        <v>Objectifs et portée des programmes/ plans nationaux/ régionaux d'accès à l'énergie.</v>
      </c>
      <c r="BH30" s="39" t="str">
        <f t="shared" si="35"/>
        <v>Objectifs et portée des programmes/ plans nationaux/ régionaux d'accès à l'énergie.</v>
      </c>
      <c r="BI30" s="39" t="s">
        <v>827</v>
      </c>
      <c r="BJ30" s="39" t="str">
        <f t="shared" si="35"/>
        <v>Objectifs et portée des programmes/ plans nationaux/ régionaux d'accès à l'énergie.</v>
      </c>
      <c r="BK30" s="39" t="str">
        <f t="shared" si="35"/>
        <v>Objectifs et portée des programmes/ plans nationaux/ régionaux d'accès à l'énergie.</v>
      </c>
      <c r="BL30" s="39" t="str">
        <f t="shared" si="35"/>
        <v>Objectifs et portée des programmes/ plans nationaux/ régionaux d'accès à l'énergie.</v>
      </c>
      <c r="BM30" s="39" t="str">
        <f t="shared" si="35"/>
        <v>Objectifs et portée des programmes/ plans nationaux/ régionaux d'accès à l'énergie.</v>
      </c>
      <c r="BN30" s="48" t="s">
        <v>808</v>
      </c>
      <c r="BO30" s="40" t="str">
        <f t="shared" si="36"/>
        <v>Pas d'existance des objectifs nationaux.</v>
      </c>
      <c r="BP30" s="40" t="str">
        <f t="shared" si="36"/>
        <v>Pas d'existance des objectifs nationaux.</v>
      </c>
      <c r="BQ30" s="40" t="str">
        <f t="shared" si="36"/>
        <v>Pas d'existance des objectifs nationaux.</v>
      </c>
      <c r="BR30" s="40" t="str">
        <f t="shared" si="36"/>
        <v>Pas d'existance des objectifs nationaux.</v>
      </c>
      <c r="BS30" s="40" t="str">
        <f t="shared" si="36"/>
        <v>Pas d'existance des objectifs nationaux.</v>
      </c>
      <c r="BT30" s="40" t="str">
        <f t="shared" si="36"/>
        <v>Pas d'existance des objectifs nationaux.</v>
      </c>
      <c r="BU30" s="40" t="str">
        <f t="shared" si="36"/>
        <v>Pas d'existance des objectifs nationaux.</v>
      </c>
      <c r="BV30" s="40" t="str">
        <f t="shared" si="36"/>
        <v>Pas d'existance des objectifs nationaux.</v>
      </c>
      <c r="BW30" s="40" t="str">
        <f t="shared" si="36"/>
        <v>Pas d'existance des objectifs nationaux.</v>
      </c>
      <c r="BX30" s="40" t="s">
        <v>880</v>
      </c>
      <c r="BY30" s="41" t="str">
        <f t="shared" si="37"/>
        <v>Des objectifs nationaux sont prévus mais n'ont pas encore été adoptés.</v>
      </c>
      <c r="BZ30" s="41" t="str">
        <f t="shared" si="37"/>
        <v>Des objectifs nationaux sont prévus mais n'ont pas encore été adoptés.</v>
      </c>
      <c r="CA30" s="41" t="str">
        <f t="shared" si="37"/>
        <v>Des objectifs nationaux sont prévus mais n'ont pas encore été adoptés.</v>
      </c>
      <c r="CB30" s="41" t="str">
        <f t="shared" si="37"/>
        <v>Des objectifs nationaux sont prévus mais n'ont pas encore été adoptés.</v>
      </c>
      <c r="CC30" s="41" t="str">
        <f t="shared" si="37"/>
        <v>Des objectifs nationaux sont prévus mais n'ont pas encore été adoptés.</v>
      </c>
      <c r="CD30" s="41" t="str">
        <f t="shared" si="37"/>
        <v>Des objectifs nationaux sont prévus mais n'ont pas encore été adoptés.</v>
      </c>
      <c r="CE30" s="41" t="str">
        <f t="shared" si="37"/>
        <v>Des objectifs nationaux sont prévus mais n'ont pas encore été adoptés.</v>
      </c>
      <c r="CF30" s="41" t="str">
        <f t="shared" si="37"/>
        <v>Des objectifs nationaux sont prévus mais n'ont pas encore été adoptés.</v>
      </c>
      <c r="CG30" s="41" t="str">
        <f t="shared" si="37"/>
        <v>Des objectifs nationaux sont prévus mais n'ont pas encore été adoptés.</v>
      </c>
      <c r="CH30" s="41" t="s">
        <v>928</v>
      </c>
      <c r="CI30" s="42" t="str">
        <f t="shared" si="38"/>
        <v>Des objectifs nationaux sont en place, adoptés et, dans une certaine mesure, contrôlés.</v>
      </c>
      <c r="CJ30" s="42" t="str">
        <f t="shared" si="38"/>
        <v>Des objectifs nationaux sont en place, adoptés et, dans une certaine mesure, contrôlés.</v>
      </c>
      <c r="CK30" s="42" t="str">
        <f t="shared" si="38"/>
        <v>Des objectifs nationaux sont en place, adoptés et, dans une certaine mesure, contrôlés.</v>
      </c>
      <c r="CL30" s="42" t="str">
        <f t="shared" si="38"/>
        <v>Des objectifs nationaux sont en place, adoptés et, dans une certaine mesure, contrôlés.</v>
      </c>
      <c r="CM30" s="42" t="str">
        <f t="shared" si="38"/>
        <v>Des objectifs nationaux sont en place, adoptés et, dans une certaine mesure, contrôlés.</v>
      </c>
      <c r="CN30" s="42" t="str">
        <f t="shared" si="38"/>
        <v>Des objectifs nationaux sont en place, adoptés et, dans une certaine mesure, contrôlés.</v>
      </c>
      <c r="CO30" s="42" t="str">
        <f t="shared" si="38"/>
        <v>Des objectifs nationaux sont en place, adoptés et, dans une certaine mesure, contrôlés.</v>
      </c>
      <c r="CP30" s="42" t="str">
        <f t="shared" si="38"/>
        <v>Des objectifs nationaux sont en place, adoptés et, dans une certaine mesure, contrôlés.</v>
      </c>
      <c r="CQ30" s="42" t="str">
        <f t="shared" si="38"/>
        <v>Des objectifs nationaux sont en place, adoptés et, dans une certaine mesure, contrôlés.</v>
      </c>
      <c r="CR30" s="42" t="s">
        <v>962</v>
      </c>
      <c r="CS30" s="43" t="str">
        <f t="shared" si="39"/>
        <v>Les objectifs nationaux font l'objet d'un suivi efficace et jouent un rôle dans l'élaboration des politiques et le dialogue.</v>
      </c>
      <c r="CT30" s="43" t="str">
        <f t="shared" si="39"/>
        <v>Les objectifs nationaux font l'objet d'un suivi efficace et jouent un rôle dans l'élaboration des politiques et le dialogue.</v>
      </c>
      <c r="CU30" s="43" t="str">
        <f t="shared" si="39"/>
        <v>Les objectifs nationaux font l'objet d'un suivi efficace et jouent un rôle dans l'élaboration des politiques et le dialogue.</v>
      </c>
      <c r="CV30" s="43" t="str">
        <f t="shared" si="39"/>
        <v>Les objectifs nationaux font l'objet d'un suivi efficace et jouent un rôle dans l'élaboration des politiques et le dialogue.</v>
      </c>
      <c r="CW30" s="43" t="str">
        <f t="shared" si="39"/>
        <v>Les objectifs nationaux font l'objet d'un suivi efficace et jouent un rôle dans l'élaboration des politiques et le dialogue.</v>
      </c>
      <c r="CX30" s="43" t="str">
        <f t="shared" si="39"/>
        <v>Les objectifs nationaux font l'objet d'un suivi efficace et jouent un rôle dans l'élaboration des politiques et le dialogue.</v>
      </c>
      <c r="CY30" s="43" t="str">
        <f t="shared" si="39"/>
        <v>Les objectifs nationaux font l'objet d'un suivi efficace et jouent un rôle dans l'élaboration des politiques et le dialogue.</v>
      </c>
      <c r="CZ30" s="43" t="str">
        <f t="shared" si="39"/>
        <v>Les objectifs nationaux font l'objet d'un suivi efficace et jouent un rôle dans l'élaboration des politiques et le dialogue.</v>
      </c>
      <c r="DA30" s="43" t="str">
        <f t="shared" si="39"/>
        <v>Les objectifs nationaux font l'objet d'un suivi efficace et jouent un rôle dans l'élaboration des politiques et le dialogue.</v>
      </c>
      <c r="DB30" s="43" t="s">
        <v>989</v>
      </c>
      <c r="DC30" s="441"/>
    </row>
    <row r="31" spans="1:107" ht="80.099999999999994" customHeight="1" thickTop="1" thickBot="1" x14ac:dyDescent="0.25">
      <c r="A31" s="244"/>
      <c r="B31" s="643"/>
      <c r="C31" s="489"/>
      <c r="D31" s="49" t="s">
        <v>47</v>
      </c>
      <c r="E31" s="48" t="s">
        <v>94</v>
      </c>
      <c r="F31" s="39" t="str">
        <f t="shared" si="30"/>
        <v>Number of existing policies and programmes fostering energy access technologies.</v>
      </c>
      <c r="G31" s="39" t="str">
        <f t="shared" si="30"/>
        <v>Number of existing policies and programmes fostering energy access technologies.</v>
      </c>
      <c r="H31" s="39" t="str">
        <f t="shared" si="30"/>
        <v>Number of existing policies and programmes fostering energy access technologies.</v>
      </c>
      <c r="I31" s="39" t="str">
        <f t="shared" si="30"/>
        <v>Number of existing policies and programmes fostering energy access technologies.</v>
      </c>
      <c r="J31" s="48" t="s">
        <v>694</v>
      </c>
      <c r="K31" s="39" t="str">
        <f t="shared" si="30"/>
        <v>Number of existing policies and programmes fostering energy access technologies.</v>
      </c>
      <c r="L31" s="39" t="str">
        <f t="shared" si="30"/>
        <v>Number of existing policies and programmes fostering energy access technologies.</v>
      </c>
      <c r="M31" s="39" t="str">
        <f t="shared" si="30"/>
        <v>Number of existing policies and programmes fostering energy access technologies.</v>
      </c>
      <c r="N31" s="39" t="str">
        <f t="shared" si="30"/>
        <v>Number of existing policies and programmes fostering energy access technologies.</v>
      </c>
      <c r="O31" s="48" t="s">
        <v>737</v>
      </c>
      <c r="P31" s="40" t="str">
        <f t="shared" si="31"/>
        <v>No existing policies for energy access technologies</v>
      </c>
      <c r="Q31" s="40" t="str">
        <f t="shared" si="31"/>
        <v>No existing policies for energy access technologies</v>
      </c>
      <c r="R31" s="40" t="str">
        <f t="shared" si="31"/>
        <v>No existing policies for energy access technologies</v>
      </c>
      <c r="S31" s="40" t="str">
        <f t="shared" si="31"/>
        <v>No existing policies for energy access technologies</v>
      </c>
      <c r="T31" s="40" t="s">
        <v>560</v>
      </c>
      <c r="U31" s="40" t="str">
        <f t="shared" si="31"/>
        <v>No existing policies for energy access technologies</v>
      </c>
      <c r="V31" s="40" t="str">
        <f t="shared" si="31"/>
        <v>No existing policies for energy access technologies</v>
      </c>
      <c r="W31" s="40" t="str">
        <f t="shared" si="31"/>
        <v>No existing policies for energy access technologies</v>
      </c>
      <c r="X31" s="40" t="str">
        <f t="shared" si="31"/>
        <v>No existing policies for energy access technologies</v>
      </c>
      <c r="Y31" s="40" t="s">
        <v>561</v>
      </c>
      <c r="Z31" s="41" t="str">
        <f t="shared" si="32"/>
        <v>Policies are planned and/or in the process to be adopted.</v>
      </c>
      <c r="AA31" s="41" t="str">
        <f t="shared" si="32"/>
        <v>Policies are planned and/or in the process to be adopted.</v>
      </c>
      <c r="AB31" s="41" t="str">
        <f t="shared" si="32"/>
        <v>Policies are planned and/or in the process to be adopted.</v>
      </c>
      <c r="AC31" s="41" t="str">
        <f t="shared" si="32"/>
        <v>Policies are planned and/or in the process to be adopted.</v>
      </c>
      <c r="AD31" s="41" t="str">
        <f t="shared" si="32"/>
        <v>Policies are planned and/or in the process to be adopted.</v>
      </c>
      <c r="AE31" s="41" t="str">
        <f t="shared" si="32"/>
        <v>Policies are planned and/or in the process to be adopted.</v>
      </c>
      <c r="AF31" s="41" t="str">
        <f t="shared" si="32"/>
        <v>Policies are planned and/or in the process to be adopted.</v>
      </c>
      <c r="AG31" s="41" t="str">
        <f t="shared" si="32"/>
        <v>Policies are planned and/or in the process to be adopted.</v>
      </c>
      <c r="AH31" s="41" t="str">
        <f t="shared" si="32"/>
        <v>Policies are planned and/or in the process to be adopted.</v>
      </c>
      <c r="AI31" s="41" t="s">
        <v>562</v>
      </c>
      <c r="AJ31" s="42" t="str">
        <f t="shared" si="33"/>
        <v xml:space="preserve">Effective policies are implemented. </v>
      </c>
      <c r="AK31" s="42" t="str">
        <f t="shared" si="33"/>
        <v xml:space="preserve">Effective policies are implemented. </v>
      </c>
      <c r="AL31" s="42" t="str">
        <f t="shared" si="33"/>
        <v xml:space="preserve">Effective policies are implemented. </v>
      </c>
      <c r="AM31" s="42" t="str">
        <f t="shared" si="33"/>
        <v xml:space="preserve">Effective policies are implemented. </v>
      </c>
      <c r="AN31" s="42" t="str">
        <f t="shared" si="33"/>
        <v xml:space="preserve">Effective policies are implemented. </v>
      </c>
      <c r="AO31" s="42" t="str">
        <f t="shared" si="33"/>
        <v xml:space="preserve">Effective policies are implemented. </v>
      </c>
      <c r="AP31" s="42" t="str">
        <f t="shared" si="33"/>
        <v xml:space="preserve">Effective policies are implemented. </v>
      </c>
      <c r="AQ31" s="42" t="str">
        <f t="shared" si="33"/>
        <v xml:space="preserve">Effective policies are implemented. </v>
      </c>
      <c r="AR31" s="42" t="str">
        <f t="shared" si="33"/>
        <v xml:space="preserve">Effective policies are implemented. </v>
      </c>
      <c r="AS31" s="42" t="s">
        <v>563</v>
      </c>
      <c r="AT31" s="43" t="str">
        <f t="shared" si="34"/>
        <v>Policies are consolidated and enforced as intended.</v>
      </c>
      <c r="AU31" s="43" t="str">
        <f t="shared" si="34"/>
        <v>Policies are consolidated and enforced as intended.</v>
      </c>
      <c r="AV31" s="43" t="str">
        <f t="shared" si="34"/>
        <v>Policies are consolidated and enforced as intended.</v>
      </c>
      <c r="AW31" s="43" t="str">
        <f t="shared" si="34"/>
        <v>Policies are consolidated and enforced as intended.</v>
      </c>
      <c r="AX31" s="43" t="str">
        <f t="shared" si="34"/>
        <v>Policies are consolidated and enforced as intended.</v>
      </c>
      <c r="AY31" s="43" t="str">
        <f t="shared" si="34"/>
        <v>Policies are consolidated and enforced as intended.</v>
      </c>
      <c r="AZ31" s="43" t="str">
        <f t="shared" si="34"/>
        <v>Policies are consolidated and enforced as intended.</v>
      </c>
      <c r="BA31" s="43" t="str">
        <f t="shared" si="34"/>
        <v>Policies are consolidated and enforced as intended.</v>
      </c>
      <c r="BB31" s="43" t="str">
        <f t="shared" si="34"/>
        <v>Policies are consolidated and enforced as intended.</v>
      </c>
      <c r="BC31" s="43" t="s">
        <v>564</v>
      </c>
      <c r="BD31" s="244"/>
      <c r="BE31" s="39" t="str">
        <f t="shared" si="35"/>
        <v>Nombre de politiques et de programmes existants favorisant les technologies d'accès à l'énergie.</v>
      </c>
      <c r="BF31" s="39" t="str">
        <f t="shared" si="35"/>
        <v>Nombre de politiques et de programmes existants favorisant les technologies d'accès à l'énergie.</v>
      </c>
      <c r="BG31" s="39" t="str">
        <f t="shared" si="35"/>
        <v>Nombre de politiques et de programmes existants favorisant les technologies d'accès à l'énergie.</v>
      </c>
      <c r="BH31" s="39" t="str">
        <f t="shared" si="35"/>
        <v>Nombre de politiques et de programmes existants favorisant les technologies d'accès à l'énergie.</v>
      </c>
      <c r="BI31" s="39" t="s">
        <v>846</v>
      </c>
      <c r="BJ31" s="39" t="str">
        <f t="shared" si="35"/>
        <v>Nombre de politiques et de programmes existants favorisant les technologies d'accès à l'énergie.</v>
      </c>
      <c r="BK31" s="39" t="str">
        <f t="shared" si="35"/>
        <v>Nombre de politiques et de programmes existants favorisant les technologies d'accès à l'énergie.</v>
      </c>
      <c r="BL31" s="39" t="str">
        <f t="shared" si="35"/>
        <v>Nombre de politiques et de programmes existants favorisant les technologies d'accès à l'énergie.</v>
      </c>
      <c r="BM31" s="39" t="str">
        <f t="shared" si="35"/>
        <v>Nombre de politiques et de programmes existants favorisant les technologies d'accès à l'énergie.</v>
      </c>
      <c r="BN31" s="48" t="s">
        <v>809</v>
      </c>
      <c r="BO31" s="40" t="str">
        <f t="shared" si="36"/>
        <v>Aucune politiques existantes pour les technologies d'accès à l'énergie</v>
      </c>
      <c r="BP31" s="40" t="str">
        <f t="shared" si="36"/>
        <v>Aucune politiques existantes pour les technologies d'accès à l'énergie</v>
      </c>
      <c r="BQ31" s="40" t="str">
        <f t="shared" si="36"/>
        <v>Aucune politiques existantes pour les technologies d'accès à l'énergie</v>
      </c>
      <c r="BR31" s="40" t="str">
        <f t="shared" si="36"/>
        <v>Aucune politiques existantes pour les technologies d'accès à l'énergie</v>
      </c>
      <c r="BS31" s="40" t="s">
        <v>882</v>
      </c>
      <c r="BT31" s="40" t="str">
        <f t="shared" si="36"/>
        <v>Aucune politiques existantes pour les technologies d'accès à l'énergie</v>
      </c>
      <c r="BU31" s="40" t="str">
        <f t="shared" si="36"/>
        <v>Aucune politiques existantes pour les technologies d'accès à l'énergie</v>
      </c>
      <c r="BV31" s="40" t="str">
        <f t="shared" si="36"/>
        <v>Aucune politiques existantes pour les technologies d'accès à l'énergie</v>
      </c>
      <c r="BW31" s="40" t="str">
        <f t="shared" si="36"/>
        <v>Aucune politiques existantes pour les technologies d'accès à l'énergie</v>
      </c>
      <c r="BX31" s="40" t="s">
        <v>881</v>
      </c>
      <c r="BY31" s="41" t="str">
        <f t="shared" si="37"/>
        <v>Des politiques sont prévues et/ou en cours d'adoption.</v>
      </c>
      <c r="BZ31" s="41" t="str">
        <f t="shared" si="37"/>
        <v>Des politiques sont prévues et/ou en cours d'adoption.</v>
      </c>
      <c r="CA31" s="41" t="str">
        <f t="shared" si="37"/>
        <v>Des politiques sont prévues et/ou en cours d'adoption.</v>
      </c>
      <c r="CB31" s="41" t="str">
        <f t="shared" si="37"/>
        <v>Des politiques sont prévues et/ou en cours d'adoption.</v>
      </c>
      <c r="CC31" s="41" t="str">
        <f t="shared" si="37"/>
        <v>Des politiques sont prévues et/ou en cours d'adoption.</v>
      </c>
      <c r="CD31" s="41" t="str">
        <f t="shared" si="37"/>
        <v>Des politiques sont prévues et/ou en cours d'adoption.</v>
      </c>
      <c r="CE31" s="41" t="str">
        <f t="shared" si="37"/>
        <v>Des politiques sont prévues et/ou en cours d'adoption.</v>
      </c>
      <c r="CF31" s="41" t="str">
        <f t="shared" si="37"/>
        <v>Des politiques sont prévues et/ou en cours d'adoption.</v>
      </c>
      <c r="CG31" s="41" t="str">
        <f t="shared" si="37"/>
        <v>Des politiques sont prévues et/ou en cours d'adoption.</v>
      </c>
      <c r="CH31" s="41" t="s">
        <v>929</v>
      </c>
      <c r="CI31" s="42" t="str">
        <f t="shared" si="38"/>
        <v xml:space="preserve">Des politiques efficaces sont mises en œuvre. </v>
      </c>
      <c r="CJ31" s="42" t="str">
        <f t="shared" si="38"/>
        <v xml:space="preserve">Des politiques efficaces sont mises en œuvre. </v>
      </c>
      <c r="CK31" s="42" t="str">
        <f t="shared" si="38"/>
        <v xml:space="preserve">Des politiques efficaces sont mises en œuvre. </v>
      </c>
      <c r="CL31" s="42" t="str">
        <f t="shared" si="38"/>
        <v xml:space="preserve">Des politiques efficaces sont mises en œuvre. </v>
      </c>
      <c r="CM31" s="42" t="str">
        <f t="shared" si="38"/>
        <v xml:space="preserve">Des politiques efficaces sont mises en œuvre. </v>
      </c>
      <c r="CN31" s="42" t="str">
        <f t="shared" si="38"/>
        <v xml:space="preserve">Des politiques efficaces sont mises en œuvre. </v>
      </c>
      <c r="CO31" s="42" t="str">
        <f t="shared" si="38"/>
        <v xml:space="preserve">Des politiques efficaces sont mises en œuvre. </v>
      </c>
      <c r="CP31" s="42" t="str">
        <f t="shared" si="38"/>
        <v xml:space="preserve">Des politiques efficaces sont mises en œuvre. </v>
      </c>
      <c r="CQ31" s="42" t="str">
        <f t="shared" si="38"/>
        <v xml:space="preserve">Des politiques efficaces sont mises en œuvre. </v>
      </c>
      <c r="CR31" s="42" t="s">
        <v>963</v>
      </c>
      <c r="CS31" s="43" t="str">
        <f t="shared" si="39"/>
        <v>Les politiques sont consolidées et appliquées comme prévu.</v>
      </c>
      <c r="CT31" s="43" t="str">
        <f t="shared" si="39"/>
        <v>Les politiques sont consolidées et appliquées comme prévu.</v>
      </c>
      <c r="CU31" s="43" t="str">
        <f t="shared" si="39"/>
        <v>Les politiques sont consolidées et appliquées comme prévu.</v>
      </c>
      <c r="CV31" s="43" t="str">
        <f t="shared" si="39"/>
        <v>Les politiques sont consolidées et appliquées comme prévu.</v>
      </c>
      <c r="CW31" s="43" t="str">
        <f t="shared" si="39"/>
        <v>Les politiques sont consolidées et appliquées comme prévu.</v>
      </c>
      <c r="CX31" s="43" t="str">
        <f t="shared" si="39"/>
        <v>Les politiques sont consolidées et appliquées comme prévu.</v>
      </c>
      <c r="CY31" s="43" t="str">
        <f t="shared" si="39"/>
        <v>Les politiques sont consolidées et appliquées comme prévu.</v>
      </c>
      <c r="CZ31" s="43" t="str">
        <f t="shared" si="39"/>
        <v>Les politiques sont consolidées et appliquées comme prévu.</v>
      </c>
      <c r="DA31" s="43" t="str">
        <f t="shared" si="39"/>
        <v>Les politiques sont consolidées et appliquées comme prévu.</v>
      </c>
      <c r="DB31" s="43" t="s">
        <v>990</v>
      </c>
      <c r="DC31" s="441"/>
    </row>
    <row r="32" spans="1:107" ht="80.099999999999994" customHeight="1" thickTop="1" thickBot="1" x14ac:dyDescent="0.25">
      <c r="A32" s="244"/>
      <c r="B32" s="643"/>
      <c r="C32" s="489"/>
      <c r="D32" s="49" t="s">
        <v>48</v>
      </c>
      <c r="E32" s="48" t="s">
        <v>173</v>
      </c>
      <c r="F32" s="39" t="str">
        <f t="shared" si="30"/>
        <v>Tax reliefs and tax benefits on product taxes (e.g. on import duties, tariffs, VAT).</v>
      </c>
      <c r="G32" s="39" t="str">
        <f t="shared" si="30"/>
        <v>Tax reliefs and tax benefits on product taxes (e.g. on import duties, tariffs, VAT).</v>
      </c>
      <c r="H32" s="39" t="str">
        <f t="shared" si="30"/>
        <v>Tax reliefs and tax benefits on product taxes (e.g. on import duties, tariffs, VAT).</v>
      </c>
      <c r="I32" s="39" t="str">
        <f t="shared" si="30"/>
        <v>Tax reliefs and tax benefits on product taxes (e.g. on import duties, tariffs, VAT).</v>
      </c>
      <c r="J32" s="39" t="str">
        <f t="shared" si="30"/>
        <v>Tax reliefs and tax benefits on product taxes (e.g. on import duties, tariffs, VAT).</v>
      </c>
      <c r="K32" s="39" t="str">
        <f t="shared" si="30"/>
        <v>Tax reliefs and tax benefits on product taxes (e.g. on import duties, tariffs, VAT).</v>
      </c>
      <c r="L32" s="39" t="str">
        <f t="shared" si="30"/>
        <v>Tax reliefs and tax benefits on product taxes (e.g. on import duties, tariffs, VAT).</v>
      </c>
      <c r="M32" s="39" t="str">
        <f t="shared" si="30"/>
        <v>Tax reliefs and tax benefits on product taxes (e.g. on import duties, tariffs, VAT).</v>
      </c>
      <c r="N32" s="39" t="str">
        <f t="shared" si="30"/>
        <v>Tax reliefs and tax benefits on product taxes (e.g. on import duties, tariffs, VAT).</v>
      </c>
      <c r="O32" s="48" t="s">
        <v>696</v>
      </c>
      <c r="P32" s="40" t="str">
        <f t="shared" si="31"/>
        <v xml:space="preserve">No special tax relief for energy access technologies </v>
      </c>
      <c r="Q32" s="40" t="str">
        <f t="shared" si="31"/>
        <v xml:space="preserve">No special tax relief for energy access technologies </v>
      </c>
      <c r="R32" s="40" t="str">
        <f t="shared" si="31"/>
        <v xml:space="preserve">No special tax relief for energy access technologies </v>
      </c>
      <c r="S32" s="40" t="str">
        <f t="shared" si="31"/>
        <v xml:space="preserve">No special tax relief for energy access technologies </v>
      </c>
      <c r="T32" s="40" t="str">
        <f>$Y32</f>
        <v xml:space="preserve">No special tax relief for energy access technologies </v>
      </c>
      <c r="U32" s="40" t="str">
        <f t="shared" si="31"/>
        <v xml:space="preserve">No special tax relief for energy access technologies </v>
      </c>
      <c r="V32" s="40" t="str">
        <f t="shared" si="31"/>
        <v xml:space="preserve">No special tax relief for energy access technologies </v>
      </c>
      <c r="W32" s="40" t="str">
        <f t="shared" si="31"/>
        <v xml:space="preserve">No special tax relief for energy access technologies </v>
      </c>
      <c r="X32" s="40" t="str">
        <f t="shared" si="31"/>
        <v xml:space="preserve">No special tax relief for energy access technologies </v>
      </c>
      <c r="Y32" s="40" t="s">
        <v>697</v>
      </c>
      <c r="Z32" s="41" t="str">
        <f t="shared" si="32"/>
        <v>Tax relief is planned and possibly adopted but hardly has an effect on the market yet.</v>
      </c>
      <c r="AA32" s="41" t="str">
        <f t="shared" si="32"/>
        <v>Tax relief is planned and possibly adopted but hardly has an effect on the market yet.</v>
      </c>
      <c r="AB32" s="41" t="str">
        <f t="shared" si="32"/>
        <v>Tax relief is planned and possibly adopted but hardly has an effect on the market yet.</v>
      </c>
      <c r="AC32" s="41" t="str">
        <f t="shared" si="32"/>
        <v>Tax relief is planned and possibly adopted but hardly has an effect on the market yet.</v>
      </c>
      <c r="AD32" s="41" t="str">
        <f>$AI32</f>
        <v>Tax relief is planned and possibly adopted but hardly has an effect on the market yet.</v>
      </c>
      <c r="AE32" s="41" t="str">
        <f t="shared" si="32"/>
        <v>Tax relief is planned and possibly adopted but hardly has an effect on the market yet.</v>
      </c>
      <c r="AF32" s="41" t="str">
        <f t="shared" si="32"/>
        <v>Tax relief is planned and possibly adopted but hardly has an effect on the market yet.</v>
      </c>
      <c r="AG32" s="41" t="str">
        <f t="shared" si="32"/>
        <v>Tax relief is planned and possibly adopted but hardly has an effect on the market yet.</v>
      </c>
      <c r="AH32" s="41" t="str">
        <f t="shared" si="32"/>
        <v>Tax relief is planned and possibly adopted but hardly has an effect on the market yet.</v>
      </c>
      <c r="AI32" s="41" t="s">
        <v>698</v>
      </c>
      <c r="AJ32" s="42" t="str">
        <f t="shared" si="33"/>
        <v>Tax reliefs and/or benefits related to energy access technologies drive market growth.</v>
      </c>
      <c r="AK32" s="42" t="str">
        <f t="shared" si="33"/>
        <v>Tax reliefs and/or benefits related to energy access technologies drive market growth.</v>
      </c>
      <c r="AL32" s="42" t="str">
        <f t="shared" si="33"/>
        <v>Tax reliefs and/or benefits related to energy access technologies drive market growth.</v>
      </c>
      <c r="AM32" s="42" t="str">
        <f t="shared" si="33"/>
        <v>Tax reliefs and/or benefits related to energy access technologies drive market growth.</v>
      </c>
      <c r="AN32" s="42" t="str">
        <f t="shared" si="33"/>
        <v>Tax reliefs and/or benefits related to energy access technologies drive market growth.</v>
      </c>
      <c r="AO32" s="42" t="str">
        <f t="shared" si="33"/>
        <v>Tax reliefs and/or benefits related to energy access technologies drive market growth.</v>
      </c>
      <c r="AP32" s="42" t="str">
        <f t="shared" si="33"/>
        <v>Tax reliefs and/or benefits related to energy access technologies drive market growth.</v>
      </c>
      <c r="AQ32" s="42" t="str">
        <f t="shared" si="33"/>
        <v>Tax reliefs and/or benefits related to energy access technologies drive market growth.</v>
      </c>
      <c r="AR32" s="42" t="str">
        <f t="shared" si="33"/>
        <v>Tax reliefs and/or benefits related to energy access technologies drive market growth.</v>
      </c>
      <c r="AS32" s="42" t="s">
        <v>699</v>
      </c>
      <c r="AT32" s="43" t="str">
        <f t="shared" si="34"/>
        <v>Tax benefits expanded or retracted, depending on self-sustaining character of the market</v>
      </c>
      <c r="AU32" s="43" t="str">
        <f t="shared" si="34"/>
        <v>Tax benefits expanded or retracted, depending on self-sustaining character of the market</v>
      </c>
      <c r="AV32" s="43" t="str">
        <f t="shared" si="34"/>
        <v>Tax benefits expanded or retracted, depending on self-sustaining character of the market</v>
      </c>
      <c r="AW32" s="43" t="str">
        <f t="shared" si="34"/>
        <v>Tax benefits expanded or retracted, depending on self-sustaining character of the market</v>
      </c>
      <c r="AX32" s="43" t="str">
        <f t="shared" si="34"/>
        <v>Tax benefits expanded or retracted, depending on self-sustaining character of the market</v>
      </c>
      <c r="AY32" s="43" t="str">
        <f t="shared" si="34"/>
        <v>Tax benefits expanded or retracted, depending on self-sustaining character of the market</v>
      </c>
      <c r="AZ32" s="43" t="str">
        <f t="shared" si="34"/>
        <v>Tax benefits expanded or retracted, depending on self-sustaining character of the market</v>
      </c>
      <c r="BA32" s="43" t="str">
        <f t="shared" si="34"/>
        <v>Tax benefits expanded or retracted, depending on self-sustaining character of the market</v>
      </c>
      <c r="BB32" s="43" t="str">
        <f t="shared" si="34"/>
        <v>Tax benefits expanded or retracted, depending on self-sustaining character of the market</v>
      </c>
      <c r="BC32" s="43" t="s">
        <v>565</v>
      </c>
      <c r="BD32" s="244"/>
      <c r="BE32" s="39" t="str">
        <f t="shared" si="35"/>
        <v>Exonérations fiscales et avantages fiscaux sur les taxes sur les produits (par exemple, sur les droits d'importation, les tarifs, la TVA).</v>
      </c>
      <c r="BF32" s="39" t="str">
        <f t="shared" si="35"/>
        <v>Exonérations fiscales et avantages fiscaux sur les taxes sur les produits (par exemple, sur les droits d'importation, les tarifs, la TVA).</v>
      </c>
      <c r="BG32" s="39" t="str">
        <f t="shared" si="35"/>
        <v>Exonérations fiscales et avantages fiscaux sur les taxes sur les produits (par exemple, sur les droits d'importation, les tarifs, la TVA).</v>
      </c>
      <c r="BH32" s="39" t="str">
        <f t="shared" si="35"/>
        <v>Exonérations fiscales et avantages fiscaux sur les taxes sur les produits (par exemple, sur les droits d'importation, les tarifs, la TVA).</v>
      </c>
      <c r="BI32" s="39" t="str">
        <f t="shared" si="35"/>
        <v>Exonérations fiscales et avantages fiscaux sur les taxes sur les produits (par exemple, sur les droits d'importation, les tarifs, la TVA).</v>
      </c>
      <c r="BJ32" s="39" t="str">
        <f t="shared" si="35"/>
        <v>Exonérations fiscales et avantages fiscaux sur les taxes sur les produits (par exemple, sur les droits d'importation, les tarifs, la TVA).</v>
      </c>
      <c r="BK32" s="39" t="str">
        <f t="shared" si="35"/>
        <v>Exonérations fiscales et avantages fiscaux sur les taxes sur les produits (par exemple, sur les droits d'importation, les tarifs, la TVA).</v>
      </c>
      <c r="BL32" s="39" t="str">
        <f t="shared" si="35"/>
        <v>Exonérations fiscales et avantages fiscaux sur les taxes sur les produits (par exemple, sur les droits d'importation, les tarifs, la TVA).</v>
      </c>
      <c r="BM32" s="39" t="str">
        <f t="shared" si="35"/>
        <v>Exonérations fiscales et avantages fiscaux sur les taxes sur les produits (par exemple, sur les droits d'importation, les tarifs, la TVA).</v>
      </c>
      <c r="BN32" s="48" t="s">
        <v>810</v>
      </c>
      <c r="BO32" s="40" t="str">
        <f t="shared" si="36"/>
        <v xml:space="preserve">Pas d'allègement fiscal spécial pour les technologies d'accès à l'énergie </v>
      </c>
      <c r="BP32" s="40" t="str">
        <f t="shared" si="36"/>
        <v xml:space="preserve">Pas d'allègement fiscal spécial pour les technologies d'accès à l'énergie </v>
      </c>
      <c r="BQ32" s="40" t="str">
        <f t="shared" si="36"/>
        <v xml:space="preserve">Pas d'allègement fiscal spécial pour les technologies d'accès à l'énergie </v>
      </c>
      <c r="BR32" s="40" t="str">
        <f t="shared" si="36"/>
        <v xml:space="preserve">Pas d'allègement fiscal spécial pour les technologies d'accès à l'énergie </v>
      </c>
      <c r="BS32" s="40" t="str">
        <f t="shared" si="36"/>
        <v xml:space="preserve">Pas d'allègement fiscal spécial pour les technologies d'accès à l'énergie </v>
      </c>
      <c r="BT32" s="40" t="str">
        <f t="shared" si="36"/>
        <v xml:space="preserve">Pas d'allègement fiscal spécial pour les technologies d'accès à l'énergie </v>
      </c>
      <c r="BU32" s="40" t="str">
        <f t="shared" si="36"/>
        <v xml:space="preserve">Pas d'allègement fiscal spécial pour les technologies d'accès à l'énergie </v>
      </c>
      <c r="BV32" s="40" t="str">
        <f t="shared" si="36"/>
        <v xml:space="preserve">Pas d'allègement fiscal spécial pour les technologies d'accès à l'énergie </v>
      </c>
      <c r="BW32" s="40" t="str">
        <f t="shared" si="36"/>
        <v xml:space="preserve">Pas d'allègement fiscal spécial pour les technologies d'accès à l'énergie </v>
      </c>
      <c r="BX32" s="40" t="s">
        <v>883</v>
      </c>
      <c r="BY32" s="41" t="str">
        <f t="shared" si="37"/>
        <v>Des allègements fiscaux sont prévus et éventuellement adoptés, mais ils n'ont guère d'effet sur le marché pour l'instant.</v>
      </c>
      <c r="BZ32" s="41" t="str">
        <f t="shared" si="37"/>
        <v>Des allègements fiscaux sont prévus et éventuellement adoptés, mais ils n'ont guère d'effet sur le marché pour l'instant.</v>
      </c>
      <c r="CA32" s="41" t="str">
        <f t="shared" si="37"/>
        <v>Des allègements fiscaux sont prévus et éventuellement adoptés, mais ils n'ont guère d'effet sur le marché pour l'instant.</v>
      </c>
      <c r="CB32" s="41" t="str">
        <f t="shared" si="37"/>
        <v>Des allègements fiscaux sont prévus et éventuellement adoptés, mais ils n'ont guère d'effet sur le marché pour l'instant.</v>
      </c>
      <c r="CC32" s="41" t="str">
        <f t="shared" si="37"/>
        <v>Des allègements fiscaux sont prévus et éventuellement adoptés, mais ils n'ont guère d'effet sur le marché pour l'instant.</v>
      </c>
      <c r="CD32" s="41" t="str">
        <f t="shared" si="37"/>
        <v>Des allègements fiscaux sont prévus et éventuellement adoptés, mais ils n'ont guère d'effet sur le marché pour l'instant.</v>
      </c>
      <c r="CE32" s="41" t="str">
        <f t="shared" si="37"/>
        <v>Des allègements fiscaux sont prévus et éventuellement adoptés, mais ils n'ont guère d'effet sur le marché pour l'instant.</v>
      </c>
      <c r="CF32" s="41" t="str">
        <f t="shared" si="37"/>
        <v>Des allègements fiscaux sont prévus et éventuellement adoptés, mais ils n'ont guère d'effet sur le marché pour l'instant.</v>
      </c>
      <c r="CG32" s="41" t="str">
        <f t="shared" si="37"/>
        <v>Des allègements fiscaux sont prévus et éventuellement adoptés, mais ils n'ont guère d'effet sur le marché pour l'instant.</v>
      </c>
      <c r="CH32" s="41" t="s">
        <v>930</v>
      </c>
      <c r="CI32" s="42" t="str">
        <f t="shared" si="38"/>
        <v>Les allègements fiscaux et/ou les avantages liés aux technologies d'accès à l'énergie stimulent la croissance du marché.</v>
      </c>
      <c r="CJ32" s="42" t="str">
        <f t="shared" si="38"/>
        <v>Les allègements fiscaux et/ou les avantages liés aux technologies d'accès à l'énergie stimulent la croissance du marché.</v>
      </c>
      <c r="CK32" s="42" t="str">
        <f t="shared" si="38"/>
        <v>Les allègements fiscaux et/ou les avantages liés aux technologies d'accès à l'énergie stimulent la croissance du marché.</v>
      </c>
      <c r="CL32" s="42" t="str">
        <f t="shared" si="38"/>
        <v>Les allègements fiscaux et/ou les avantages liés aux technologies d'accès à l'énergie stimulent la croissance du marché.</v>
      </c>
      <c r="CM32" s="42" t="str">
        <f t="shared" si="38"/>
        <v>Les allègements fiscaux et/ou les avantages liés aux technologies d'accès à l'énergie stimulent la croissance du marché.</v>
      </c>
      <c r="CN32" s="42" t="str">
        <f t="shared" si="38"/>
        <v>Les allègements fiscaux et/ou les avantages liés aux technologies d'accès à l'énergie stimulent la croissance du marché.</v>
      </c>
      <c r="CO32" s="42" t="str">
        <f t="shared" si="38"/>
        <v>Les allègements fiscaux et/ou les avantages liés aux technologies d'accès à l'énergie stimulent la croissance du marché.</v>
      </c>
      <c r="CP32" s="42" t="str">
        <f t="shared" si="38"/>
        <v>Les allègements fiscaux et/ou les avantages liés aux technologies d'accès à l'énergie stimulent la croissance du marché.</v>
      </c>
      <c r="CQ32" s="42" t="str">
        <f t="shared" si="38"/>
        <v>Les allègements fiscaux et/ou les avantages liés aux technologies d'accès à l'énergie stimulent la croissance du marché.</v>
      </c>
      <c r="CR32" s="42" t="s">
        <v>964</v>
      </c>
      <c r="CS32" s="43" t="str">
        <f t="shared" si="39"/>
        <v>Les avantages fiscaux sont étendus ou supprimés, en fonction du caractère autonome du marché.</v>
      </c>
      <c r="CT32" s="43" t="str">
        <f t="shared" si="39"/>
        <v>Les avantages fiscaux sont étendus ou supprimés, en fonction du caractère autonome du marché.</v>
      </c>
      <c r="CU32" s="43" t="str">
        <f t="shared" si="39"/>
        <v>Les avantages fiscaux sont étendus ou supprimés, en fonction du caractère autonome du marché.</v>
      </c>
      <c r="CV32" s="43" t="str">
        <f t="shared" si="39"/>
        <v>Les avantages fiscaux sont étendus ou supprimés, en fonction du caractère autonome du marché.</v>
      </c>
      <c r="CW32" s="43" t="str">
        <f t="shared" si="39"/>
        <v>Les avantages fiscaux sont étendus ou supprimés, en fonction du caractère autonome du marché.</v>
      </c>
      <c r="CX32" s="43" t="str">
        <f t="shared" si="39"/>
        <v>Les avantages fiscaux sont étendus ou supprimés, en fonction du caractère autonome du marché.</v>
      </c>
      <c r="CY32" s="43" t="str">
        <f t="shared" si="39"/>
        <v>Les avantages fiscaux sont étendus ou supprimés, en fonction du caractère autonome du marché.</v>
      </c>
      <c r="CZ32" s="43" t="str">
        <f t="shared" si="39"/>
        <v>Les avantages fiscaux sont étendus ou supprimés, en fonction du caractère autonome du marché.</v>
      </c>
      <c r="DA32" s="43" t="str">
        <f t="shared" si="39"/>
        <v>Les avantages fiscaux sont étendus ou supprimés, en fonction du caractère autonome du marché.</v>
      </c>
      <c r="DB32" s="43" t="s">
        <v>991</v>
      </c>
      <c r="DC32" s="441"/>
    </row>
    <row r="33" spans="1:107" ht="80.099999999999994" customHeight="1" thickTop="1" thickBot="1" x14ac:dyDescent="0.25">
      <c r="A33" s="244"/>
      <c r="B33" s="643"/>
      <c r="C33" s="489" t="s">
        <v>175</v>
      </c>
      <c r="D33" s="49" t="s">
        <v>49</v>
      </c>
      <c r="E33" s="48" t="s">
        <v>176</v>
      </c>
      <c r="F33" s="39" t="str">
        <f t="shared" si="30"/>
        <v>Extent and type of subsidies.</v>
      </c>
      <c r="G33" s="39" t="str">
        <f t="shared" si="30"/>
        <v>Extent and type of subsidies.</v>
      </c>
      <c r="H33" s="39" t="str">
        <f t="shared" si="30"/>
        <v>Extent and type of subsidies.</v>
      </c>
      <c r="I33" s="39" t="str">
        <f t="shared" si="30"/>
        <v>Extent and type of subsidies.</v>
      </c>
      <c r="J33" s="39" t="str">
        <f t="shared" si="30"/>
        <v>Extent and type of subsidies.</v>
      </c>
      <c r="K33" s="39" t="str">
        <f t="shared" si="30"/>
        <v>Extent and type of subsidies.</v>
      </c>
      <c r="L33" s="39" t="str">
        <f t="shared" si="30"/>
        <v>Extent and type of subsidies.</v>
      </c>
      <c r="M33" s="39" t="str">
        <f t="shared" si="30"/>
        <v>Extent and type of subsidies.</v>
      </c>
      <c r="N33" s="39" t="str">
        <f t="shared" si="30"/>
        <v>Extent and type of subsidies.</v>
      </c>
      <c r="O33" s="48" t="s">
        <v>738</v>
      </c>
      <c r="P33" s="40" t="str">
        <f t="shared" si="31"/>
        <v>Partial or full direct subsidies on the demand side are high in order to “introduce” the technology. Highly donor-based; over 50% of consumer price.</v>
      </c>
      <c r="Q33" s="40" t="str">
        <f t="shared" si="31"/>
        <v>Partial or full direct subsidies on the demand side are high in order to “introduce” the technology. Highly donor-based; over 50% of consumer price.</v>
      </c>
      <c r="R33" s="40" t="str">
        <f t="shared" si="31"/>
        <v>Partial or full direct subsidies on the demand side are high in order to “introduce” the technology. Highly donor-based; over 50% of consumer price.</v>
      </c>
      <c r="S33" s="40" t="str">
        <f t="shared" si="31"/>
        <v>Partial or full direct subsidies on the demand side are high in order to “introduce” the technology. Highly donor-based; over 50% of consumer price.</v>
      </c>
      <c r="T33" s="40" t="str">
        <f t="shared" si="31"/>
        <v>Partial or full direct subsidies on the demand side are high in order to “introduce” the technology. Highly donor-based; over 50% of consumer price.</v>
      </c>
      <c r="U33" s="40" t="str">
        <f t="shared" si="31"/>
        <v>Partial or full direct subsidies on the demand side are high in order to “introduce” the technology. Highly donor-based; over 50% of consumer price.</v>
      </c>
      <c r="V33" s="40" t="str">
        <f t="shared" si="31"/>
        <v>Partial or full direct subsidies on the demand side are high in order to “introduce” the technology. Highly donor-based; over 50% of consumer price.</v>
      </c>
      <c r="W33" s="40" t="str">
        <f t="shared" si="31"/>
        <v>Partial or full direct subsidies on the demand side are high in order to “introduce” the technology. Highly donor-based; over 50% of consumer price.</v>
      </c>
      <c r="X33" s="40" t="str">
        <f t="shared" si="31"/>
        <v>Partial or full direct subsidies on the demand side are high in order to “introduce” the technology. Highly donor-based; over 50% of consumer price.</v>
      </c>
      <c r="Y33" s="40" t="s">
        <v>566</v>
      </c>
      <c r="Z33" s="41" t="str">
        <f t="shared" si="32"/>
        <v>First financing mechanisms (including subsidies) emerge/are tested (pilots) – usually donor-driven, but below 50% of consumer price.</v>
      </c>
      <c r="AA33" s="41" t="str">
        <f t="shared" si="32"/>
        <v>First financing mechanisms (including subsidies) emerge/are tested (pilots) – usually donor-driven, but below 50% of consumer price.</v>
      </c>
      <c r="AB33" s="41" t="str">
        <f t="shared" si="32"/>
        <v>First financing mechanisms (including subsidies) emerge/are tested (pilots) – usually donor-driven, but below 50% of consumer price.</v>
      </c>
      <c r="AC33" s="41" t="str">
        <f t="shared" si="32"/>
        <v>First financing mechanisms (including subsidies) emerge/are tested (pilots) – usually donor-driven, but below 50% of consumer price.</v>
      </c>
      <c r="AD33" s="41" t="str">
        <f t="shared" si="32"/>
        <v>First financing mechanisms (including subsidies) emerge/are tested (pilots) – usually donor-driven, but below 50% of consumer price.</v>
      </c>
      <c r="AE33" s="41" t="str">
        <f t="shared" si="32"/>
        <v>First financing mechanisms (including subsidies) emerge/are tested (pilots) – usually donor-driven, but below 50% of consumer price.</v>
      </c>
      <c r="AF33" s="41" t="str">
        <f t="shared" si="32"/>
        <v>First financing mechanisms (including subsidies) emerge/are tested (pilots) – usually donor-driven, but below 50% of consumer price.</v>
      </c>
      <c r="AG33" s="41" t="str">
        <f t="shared" si="32"/>
        <v>First financing mechanisms (including subsidies) emerge/are tested (pilots) – usually donor-driven, but below 50% of consumer price.</v>
      </c>
      <c r="AH33" s="41" t="str">
        <f t="shared" si="32"/>
        <v>First financing mechanisms (including subsidies) emerge/are tested (pilots) – usually donor-driven, but below 50% of consumer price.</v>
      </c>
      <c r="AI33" s="41" t="s">
        <v>567</v>
      </c>
      <c r="AJ33" s="42" t="str">
        <f t="shared" si="33"/>
        <v>Donor driven subsidies are retracted (20-0% of consumer price) or scheduled to be phased out or really targeted at the poor.</v>
      </c>
      <c r="AK33" s="42" t="str">
        <f t="shared" si="33"/>
        <v>Donor driven subsidies are retracted (20-0% of consumer price) or scheduled to be phased out or really targeted at the poor.</v>
      </c>
      <c r="AL33" s="42" t="str">
        <f t="shared" si="33"/>
        <v>Donor driven subsidies are retracted (20-0% of consumer price) or scheduled to be phased out or really targeted at the poor.</v>
      </c>
      <c r="AM33" s="42" t="str">
        <f t="shared" si="33"/>
        <v>Donor driven subsidies are retracted (20-0% of consumer price) or scheduled to be phased out or really targeted at the poor.</v>
      </c>
      <c r="AN33" s="42" t="str">
        <f t="shared" si="33"/>
        <v>Donor driven subsidies are retracted (20-0% of consumer price) or scheduled to be phased out or really targeted at the poor.</v>
      </c>
      <c r="AO33" s="42" t="str">
        <f t="shared" si="33"/>
        <v>Donor driven subsidies are retracted (20-0% of consumer price) or scheduled to be phased out or really targeted at the poor.</v>
      </c>
      <c r="AP33" s="42" t="str">
        <f t="shared" si="33"/>
        <v>Donor driven subsidies are retracted (20-0% of consumer price) or scheduled to be phased out or really targeted at the poor.</v>
      </c>
      <c r="AQ33" s="42" t="str">
        <f t="shared" si="33"/>
        <v>Donor driven subsidies are retracted (20-0% of consumer price) or scheduled to be phased out or really targeted at the poor.</v>
      </c>
      <c r="AR33" s="42" t="str">
        <f t="shared" si="33"/>
        <v>Donor driven subsidies are retracted (20-0% of consumer price) or scheduled to be phased out or really targeted at the poor.</v>
      </c>
      <c r="AS33" s="42" t="s">
        <v>568</v>
      </c>
      <c r="AT33" s="43" t="str">
        <f t="shared" si="34"/>
        <v>There are no consumer or supplier subsidies in place beacuse of the well-developped state of the market.</v>
      </c>
      <c r="AU33" s="43" t="str">
        <f t="shared" si="34"/>
        <v>There are no consumer or supplier subsidies in place beacuse of the well-developped state of the market.</v>
      </c>
      <c r="AV33" s="43" t="str">
        <f t="shared" si="34"/>
        <v>There are no consumer or supplier subsidies in place beacuse of the well-developped state of the market.</v>
      </c>
      <c r="AW33" s="43" t="str">
        <f t="shared" si="34"/>
        <v>There are no consumer or supplier subsidies in place beacuse of the well-developped state of the market.</v>
      </c>
      <c r="AX33" s="43" t="str">
        <f t="shared" si="34"/>
        <v>There are no consumer or supplier subsidies in place beacuse of the well-developped state of the market.</v>
      </c>
      <c r="AY33" s="43" t="str">
        <f t="shared" si="34"/>
        <v>There are no consumer or supplier subsidies in place beacuse of the well-developped state of the market.</v>
      </c>
      <c r="AZ33" s="43" t="str">
        <f t="shared" si="34"/>
        <v>There are no consumer or supplier subsidies in place beacuse of the well-developped state of the market.</v>
      </c>
      <c r="BA33" s="43" t="str">
        <f t="shared" si="34"/>
        <v>There are no consumer or supplier subsidies in place beacuse of the well-developped state of the market.</v>
      </c>
      <c r="BB33" s="43" t="str">
        <f t="shared" si="34"/>
        <v>There are no consumer or supplier subsidies in place beacuse of the well-developped state of the market.</v>
      </c>
      <c r="BC33" s="43" t="s">
        <v>719</v>
      </c>
      <c r="BD33" s="244"/>
      <c r="BE33" s="39" t="str">
        <f t="shared" si="35"/>
        <v>Ampleur et type des subventions.</v>
      </c>
      <c r="BF33" s="39" t="str">
        <f t="shared" si="35"/>
        <v>Ampleur et type des subventions.</v>
      </c>
      <c r="BG33" s="39" t="str">
        <f t="shared" si="35"/>
        <v>Ampleur et type des subventions.</v>
      </c>
      <c r="BH33" s="39" t="str">
        <f t="shared" si="35"/>
        <v>Ampleur et type des subventions.</v>
      </c>
      <c r="BI33" s="39" t="str">
        <f t="shared" si="35"/>
        <v>Ampleur et type des subventions.</v>
      </c>
      <c r="BJ33" s="39" t="str">
        <f t="shared" si="35"/>
        <v>Ampleur et type des subventions.</v>
      </c>
      <c r="BK33" s="39" t="str">
        <f t="shared" si="35"/>
        <v>Ampleur et type des subventions.</v>
      </c>
      <c r="BL33" s="39" t="str">
        <f t="shared" si="35"/>
        <v>Ampleur et type des subventions.</v>
      </c>
      <c r="BM33" s="39" t="str">
        <f t="shared" si="35"/>
        <v>Ampleur et type des subventions.</v>
      </c>
      <c r="BN33" s="48" t="s">
        <v>813</v>
      </c>
      <c r="BO33" s="40" t="str">
        <f t="shared" si="36"/>
        <v>Les subventions partielles ou totales élevées du côté de la demande afin "d'introduire" la technologie. Fortement basées sur les bailleurs ; plus de 50 % du prix à la consommation.</v>
      </c>
      <c r="BP33" s="40" t="str">
        <f t="shared" si="36"/>
        <v>Les subventions partielles ou totales élevées du côté de la demande afin "d'introduire" la technologie. Fortement basées sur les bailleurs ; plus de 50 % du prix à la consommation.</v>
      </c>
      <c r="BQ33" s="40" t="str">
        <f t="shared" si="36"/>
        <v>Les subventions partielles ou totales élevées du côté de la demande afin "d'introduire" la technologie. Fortement basées sur les bailleurs ; plus de 50 % du prix à la consommation.</v>
      </c>
      <c r="BR33" s="40" t="str">
        <f t="shared" si="36"/>
        <v>Les subventions partielles ou totales élevées du côté de la demande afin "d'introduire" la technologie. Fortement basées sur les bailleurs ; plus de 50 % du prix à la consommation.</v>
      </c>
      <c r="BS33" s="40" t="str">
        <f t="shared" si="36"/>
        <v>Les subventions partielles ou totales élevées du côté de la demande afin "d'introduire" la technologie. Fortement basées sur les bailleurs ; plus de 50 % du prix à la consommation.</v>
      </c>
      <c r="BT33" s="40" t="str">
        <f t="shared" si="36"/>
        <v>Les subventions partielles ou totales élevées du côté de la demande afin "d'introduire" la technologie. Fortement basées sur les bailleurs ; plus de 50 % du prix à la consommation.</v>
      </c>
      <c r="BU33" s="40" t="str">
        <f t="shared" si="36"/>
        <v>Les subventions partielles ou totales élevées du côté de la demande afin "d'introduire" la technologie. Fortement basées sur les bailleurs ; plus de 50 % du prix à la consommation.</v>
      </c>
      <c r="BV33" s="40" t="str">
        <f t="shared" si="36"/>
        <v>Les subventions partielles ou totales élevées du côté de la demande afin "d'introduire" la technologie. Fortement basées sur les bailleurs ; plus de 50 % du prix à la consommation.</v>
      </c>
      <c r="BW33" s="40" t="str">
        <f t="shared" si="36"/>
        <v>Les subventions partielles ou totales élevées du côté de la demande afin "d'introduire" la technologie. Fortement basées sur les bailleurs ; plus de 50 % du prix à la consommation.</v>
      </c>
      <c r="BX33" s="40" t="s">
        <v>884</v>
      </c>
      <c r="BY33" s="41" t="str">
        <f t="shared" si="37"/>
        <v>Les premiers mécanismes de financement / subventions apparaissent ou sont testés (projets pilotes) - souvent à l'initiative des bailleurs. Dessous de 50 % du prix.</v>
      </c>
      <c r="BZ33" s="41" t="str">
        <f t="shared" si="37"/>
        <v>Les premiers mécanismes de financement / subventions apparaissent ou sont testés (projets pilotes) - souvent à l'initiative des bailleurs. Dessous de 50 % du prix.</v>
      </c>
      <c r="CA33" s="41" t="str">
        <f t="shared" si="37"/>
        <v>Les premiers mécanismes de financement / subventions apparaissent ou sont testés (projets pilotes) - souvent à l'initiative des bailleurs. Dessous de 50 % du prix.</v>
      </c>
      <c r="CB33" s="41" t="str">
        <f t="shared" si="37"/>
        <v>Les premiers mécanismes de financement / subventions apparaissent ou sont testés (projets pilotes) - souvent à l'initiative des bailleurs. Dessous de 50 % du prix.</v>
      </c>
      <c r="CC33" s="41" t="str">
        <f t="shared" si="37"/>
        <v>Les premiers mécanismes de financement / subventions apparaissent ou sont testés (projets pilotes) - souvent à l'initiative des bailleurs. Dessous de 50 % du prix.</v>
      </c>
      <c r="CD33" s="41" t="str">
        <f t="shared" si="37"/>
        <v>Les premiers mécanismes de financement / subventions apparaissent ou sont testés (projets pilotes) - souvent à l'initiative des bailleurs. Dessous de 50 % du prix.</v>
      </c>
      <c r="CE33" s="41" t="str">
        <f t="shared" si="37"/>
        <v>Les premiers mécanismes de financement / subventions apparaissent ou sont testés (projets pilotes) - souvent à l'initiative des bailleurs. Dessous de 50 % du prix.</v>
      </c>
      <c r="CF33" s="41" t="str">
        <f t="shared" si="37"/>
        <v>Les premiers mécanismes de financement / subventions apparaissent ou sont testés (projets pilotes) - souvent à l'initiative des bailleurs. Dessous de 50 % du prix.</v>
      </c>
      <c r="CG33" s="41" t="str">
        <f t="shared" si="37"/>
        <v>Les premiers mécanismes de financement / subventions apparaissent ou sont testés (projets pilotes) - souvent à l'initiative des bailleurs. Dessous de 50 % du prix.</v>
      </c>
      <c r="CH33" s="41" t="s">
        <v>1020</v>
      </c>
      <c r="CI33" s="42" t="str">
        <f t="shared" si="38"/>
        <v>Les subventions accordées par les bailleurs ont été supprimées (20 à 0 % du prix à la consommation), il est prévu de les supprimer progressivement ou les destinées aux pauvres.</v>
      </c>
      <c r="CJ33" s="42" t="str">
        <f t="shared" si="38"/>
        <v>Les subventions accordées par les bailleurs ont été supprimées (20 à 0 % du prix à la consommation), il est prévu de les supprimer progressivement ou les destinées aux pauvres.</v>
      </c>
      <c r="CK33" s="42" t="str">
        <f t="shared" si="38"/>
        <v>Les subventions accordées par les bailleurs ont été supprimées (20 à 0 % du prix à la consommation), il est prévu de les supprimer progressivement ou les destinées aux pauvres.</v>
      </c>
      <c r="CL33" s="42" t="str">
        <f t="shared" si="38"/>
        <v>Les subventions accordées par les bailleurs ont été supprimées (20 à 0 % du prix à la consommation), il est prévu de les supprimer progressivement ou les destinées aux pauvres.</v>
      </c>
      <c r="CM33" s="42" t="str">
        <f t="shared" si="38"/>
        <v>Les subventions accordées par les bailleurs ont été supprimées (20 à 0 % du prix à la consommation), il est prévu de les supprimer progressivement ou les destinées aux pauvres.</v>
      </c>
      <c r="CN33" s="42" t="str">
        <f t="shared" si="38"/>
        <v>Les subventions accordées par les bailleurs ont été supprimées (20 à 0 % du prix à la consommation), il est prévu de les supprimer progressivement ou les destinées aux pauvres.</v>
      </c>
      <c r="CO33" s="42" t="str">
        <f t="shared" si="38"/>
        <v>Les subventions accordées par les bailleurs ont été supprimées (20 à 0 % du prix à la consommation), il est prévu de les supprimer progressivement ou les destinées aux pauvres.</v>
      </c>
      <c r="CP33" s="42" t="str">
        <f t="shared" si="38"/>
        <v>Les subventions accordées par les bailleurs ont été supprimées (20 à 0 % du prix à la consommation), il est prévu de les supprimer progressivement ou les destinées aux pauvres.</v>
      </c>
      <c r="CQ33" s="42" t="str">
        <f t="shared" si="38"/>
        <v>Les subventions accordées par les bailleurs ont été supprimées (20 à 0 % du prix à la consommation), il est prévu de les supprimer progressivement ou les destinées aux pauvres.</v>
      </c>
      <c r="CR33" s="42" t="s">
        <v>1021</v>
      </c>
      <c r="CS33" s="43" t="str">
        <f t="shared" si="39"/>
        <v>Il n'existe pas de subventions aux consommateurs ou aux fournisseurs en raison de l'état de développement du marché.</v>
      </c>
      <c r="CT33" s="43" t="str">
        <f t="shared" si="39"/>
        <v>Il n'existe pas de subventions aux consommateurs ou aux fournisseurs en raison de l'état de développement du marché.</v>
      </c>
      <c r="CU33" s="43" t="str">
        <f t="shared" si="39"/>
        <v>Il n'existe pas de subventions aux consommateurs ou aux fournisseurs en raison de l'état de développement du marché.</v>
      </c>
      <c r="CV33" s="43" t="str">
        <f t="shared" si="39"/>
        <v>Il n'existe pas de subventions aux consommateurs ou aux fournisseurs en raison de l'état de développement du marché.</v>
      </c>
      <c r="CW33" s="43" t="str">
        <f t="shared" si="39"/>
        <v>Il n'existe pas de subventions aux consommateurs ou aux fournisseurs en raison de l'état de développement du marché.</v>
      </c>
      <c r="CX33" s="43" t="str">
        <f t="shared" si="39"/>
        <v>Il n'existe pas de subventions aux consommateurs ou aux fournisseurs en raison de l'état de développement du marché.</v>
      </c>
      <c r="CY33" s="43" t="str">
        <f t="shared" si="39"/>
        <v>Il n'existe pas de subventions aux consommateurs ou aux fournisseurs en raison de l'état de développement du marché.</v>
      </c>
      <c r="CZ33" s="43" t="str">
        <f t="shared" si="39"/>
        <v>Il n'existe pas de subventions aux consommateurs ou aux fournisseurs en raison de l'état de développement du marché.</v>
      </c>
      <c r="DA33" s="43" t="str">
        <f t="shared" si="39"/>
        <v>Il n'existe pas de subventions aux consommateurs ou aux fournisseurs en raison de l'état de développement du marché.</v>
      </c>
      <c r="DB33" s="43" t="s">
        <v>992</v>
      </c>
      <c r="DC33" s="441"/>
    </row>
    <row r="34" spans="1:107" ht="80.099999999999994" customHeight="1" thickTop="1" thickBot="1" x14ac:dyDescent="0.25">
      <c r="A34" s="244"/>
      <c r="B34" s="643"/>
      <c r="C34" s="489"/>
      <c r="D34" s="49" t="s">
        <v>50</v>
      </c>
      <c r="E34" s="48" t="s">
        <v>569</v>
      </c>
      <c r="F34" s="39" t="str">
        <f t="shared" si="30"/>
        <v>Number and type of financing options for suppliers.</v>
      </c>
      <c r="G34" s="39" t="str">
        <f t="shared" si="30"/>
        <v>Number and type of financing options for suppliers.</v>
      </c>
      <c r="H34" s="39" t="str">
        <f t="shared" si="30"/>
        <v>Number and type of financing options for suppliers.</v>
      </c>
      <c r="I34" s="39" t="str">
        <f t="shared" si="30"/>
        <v>Number and type of financing options for suppliers.</v>
      </c>
      <c r="J34" s="39" t="str">
        <f t="shared" si="30"/>
        <v>Number and type of financing options for suppliers.</v>
      </c>
      <c r="K34" s="39" t="str">
        <f t="shared" si="30"/>
        <v>Number and type of financing options for suppliers.</v>
      </c>
      <c r="L34" s="39" t="str">
        <f t="shared" si="30"/>
        <v>Number and type of financing options for suppliers.</v>
      </c>
      <c r="M34" s="39" t="str">
        <f t="shared" si="30"/>
        <v>Number and type of financing options for suppliers.</v>
      </c>
      <c r="N34" s="39" t="str">
        <f t="shared" si="30"/>
        <v>Number and type of financing options for suppliers.</v>
      </c>
      <c r="O34" s="48" t="s">
        <v>739</v>
      </c>
      <c r="P34" s="40" t="str">
        <f t="shared" si="31"/>
        <v>Financing options available only through donors. Low investments due to financial constraints.</v>
      </c>
      <c r="Q34" s="40" t="str">
        <f t="shared" si="31"/>
        <v>Financing options available only through donors. Low investments due to financial constraints.</v>
      </c>
      <c r="R34" s="40" t="str">
        <f t="shared" si="31"/>
        <v>Financing options available only through donors. Low investments due to financial constraints.</v>
      </c>
      <c r="S34" s="40" t="str">
        <f t="shared" si="31"/>
        <v>Financing options available only through donors. Low investments due to financial constraints.</v>
      </c>
      <c r="T34" s="40" t="str">
        <f t="shared" si="31"/>
        <v>Financing options available only through donors. Low investments due to financial constraints.</v>
      </c>
      <c r="U34" s="40" t="str">
        <f t="shared" si="31"/>
        <v>Financing options available only through donors. Low investments due to financial constraints.</v>
      </c>
      <c r="V34" s="40" t="str">
        <f t="shared" si="31"/>
        <v>Financing options available only through donors. Low investments due to financial constraints.</v>
      </c>
      <c r="W34" s="40" t="str">
        <f t="shared" si="31"/>
        <v>Financing options available only through donors. Low investments due to financial constraints.</v>
      </c>
      <c r="X34" s="40" t="str">
        <f t="shared" si="31"/>
        <v>Financing options available only through donors. Low investments due to financial constraints.</v>
      </c>
      <c r="Y34" s="40" t="s">
        <v>570</v>
      </c>
      <c r="Z34" s="41" t="str">
        <f t="shared" si="32"/>
        <v xml:space="preserve">Most local financial institutions are still reluctant to offer financing. Only donors offer funding. Financial constrains inhibits private investment. </v>
      </c>
      <c r="AA34" s="41" t="str">
        <f t="shared" si="32"/>
        <v xml:space="preserve">Most local financial institutions are still reluctant to offer financing. Only donors offer funding. Financial constrains inhibits private investment. </v>
      </c>
      <c r="AB34" s="41" t="str">
        <f t="shared" si="32"/>
        <v xml:space="preserve">Most local financial institutions are still reluctant to offer financing. Only donors offer funding. Financial constrains inhibits private investment. </v>
      </c>
      <c r="AC34" s="41" t="str">
        <f t="shared" si="32"/>
        <v xml:space="preserve">Most local financial institutions are still reluctant to offer financing. Only donors offer funding. Financial constrains inhibits private investment. </v>
      </c>
      <c r="AD34" s="41" t="str">
        <f t="shared" si="32"/>
        <v xml:space="preserve">Most local financial institutions are still reluctant to offer financing. Only donors offer funding. Financial constrains inhibits private investment. </v>
      </c>
      <c r="AE34" s="41" t="str">
        <f t="shared" si="32"/>
        <v xml:space="preserve">Most local financial institutions are still reluctant to offer financing. Only donors offer funding. Financial constrains inhibits private investment. </v>
      </c>
      <c r="AF34" s="41" t="str">
        <f t="shared" si="32"/>
        <v xml:space="preserve">Most local financial institutions are still reluctant to offer financing. Only donors offer funding. Financial constrains inhibits private investment. </v>
      </c>
      <c r="AG34" s="41" t="str">
        <f t="shared" si="32"/>
        <v xml:space="preserve">Most local financial institutions are still reluctant to offer financing. Only donors offer funding. Financial constrains inhibits private investment. </v>
      </c>
      <c r="AH34" s="41" t="str">
        <f t="shared" si="32"/>
        <v xml:space="preserve">Most local financial institutions are still reluctant to offer financing. Only donors offer funding. Financial constrains inhibits private investment. </v>
      </c>
      <c r="AI34" s="41" t="s">
        <v>571</v>
      </c>
      <c r="AJ34" s="42" t="str">
        <f t="shared" si="33"/>
        <v xml:space="preserve">Financing options for businesses are available as products/services are recognized as profitable by local financial institutions. </v>
      </c>
      <c r="AK34" s="42" t="str">
        <f t="shared" si="33"/>
        <v xml:space="preserve">Financing options for businesses are available as products/services are recognized as profitable by local financial institutions. </v>
      </c>
      <c r="AL34" s="42" t="str">
        <f t="shared" si="33"/>
        <v xml:space="preserve">Financing options for businesses are available as products/services are recognized as profitable by local financial institutions. </v>
      </c>
      <c r="AM34" s="42" t="str">
        <f t="shared" si="33"/>
        <v xml:space="preserve">Financing options for businesses are available as products/services are recognized as profitable by local financial institutions. </v>
      </c>
      <c r="AN34" s="42" t="str">
        <f t="shared" si="33"/>
        <v xml:space="preserve">Financing options for businesses are available as products/services are recognized as profitable by local financial institutions. </v>
      </c>
      <c r="AO34" s="42" t="str">
        <f t="shared" si="33"/>
        <v xml:space="preserve">Financing options for businesses are available as products/services are recognized as profitable by local financial institutions. </v>
      </c>
      <c r="AP34" s="42" t="str">
        <f t="shared" si="33"/>
        <v xml:space="preserve">Financing options for businesses are available as products/services are recognized as profitable by local financial institutions. </v>
      </c>
      <c r="AQ34" s="42" t="str">
        <f t="shared" si="33"/>
        <v xml:space="preserve">Financing options for businesses are available as products/services are recognized as profitable by local financial institutions. </v>
      </c>
      <c r="AR34" s="42" t="str">
        <f t="shared" si="33"/>
        <v xml:space="preserve">Financing options for businesses are available as products/services are recognized as profitable by local financial institutions. </v>
      </c>
      <c r="AS34" s="42" t="s">
        <v>572</v>
      </c>
      <c r="AT34" s="43" t="str">
        <f t="shared" si="34"/>
        <v>Financial institutions offer good terms and conditions for businesses. Businesses are less limited by financial constraints.</v>
      </c>
      <c r="AU34" s="43" t="str">
        <f t="shared" si="34"/>
        <v>Financial institutions offer good terms and conditions for businesses. Businesses are less limited by financial constraints.</v>
      </c>
      <c r="AV34" s="43" t="str">
        <f t="shared" si="34"/>
        <v>Financial institutions offer good terms and conditions for businesses. Businesses are less limited by financial constraints.</v>
      </c>
      <c r="AW34" s="43" t="str">
        <f t="shared" si="34"/>
        <v>Financial institutions offer good terms and conditions for businesses. Businesses are less limited by financial constraints.</v>
      </c>
      <c r="AX34" s="43" t="str">
        <f t="shared" si="34"/>
        <v>Financial institutions offer good terms and conditions for businesses. Businesses are less limited by financial constraints.</v>
      </c>
      <c r="AY34" s="43" t="str">
        <f t="shared" si="34"/>
        <v>Financial institutions offer good terms and conditions for businesses. Businesses are less limited by financial constraints.</v>
      </c>
      <c r="AZ34" s="43" t="str">
        <f t="shared" si="34"/>
        <v>Financial institutions offer good terms and conditions for businesses. Businesses are less limited by financial constraints.</v>
      </c>
      <c r="BA34" s="43" t="str">
        <f t="shared" si="34"/>
        <v>Financial institutions offer good terms and conditions for businesses. Businesses are less limited by financial constraints.</v>
      </c>
      <c r="BB34" s="43" t="str">
        <f t="shared" si="34"/>
        <v>Financial institutions offer good terms and conditions for businesses. Businesses are less limited by financial constraints.</v>
      </c>
      <c r="BC34" s="43" t="s">
        <v>573</v>
      </c>
      <c r="BD34" s="244"/>
      <c r="BE34" s="39" t="str">
        <f t="shared" si="35"/>
        <v>Amplaur et variation d'options de financement pour les fournisseurs.</v>
      </c>
      <c r="BF34" s="39" t="str">
        <f t="shared" si="35"/>
        <v>Amplaur et variation d'options de financement pour les fournisseurs.</v>
      </c>
      <c r="BG34" s="39" t="str">
        <f t="shared" si="35"/>
        <v>Amplaur et variation d'options de financement pour les fournisseurs.</v>
      </c>
      <c r="BH34" s="39" t="str">
        <f t="shared" si="35"/>
        <v>Amplaur et variation d'options de financement pour les fournisseurs.</v>
      </c>
      <c r="BI34" s="39" t="str">
        <f t="shared" si="35"/>
        <v>Amplaur et variation d'options de financement pour les fournisseurs.</v>
      </c>
      <c r="BJ34" s="39" t="str">
        <f t="shared" si="35"/>
        <v>Amplaur et variation d'options de financement pour les fournisseurs.</v>
      </c>
      <c r="BK34" s="39" t="str">
        <f t="shared" si="35"/>
        <v>Amplaur et variation d'options de financement pour les fournisseurs.</v>
      </c>
      <c r="BL34" s="39" t="str">
        <f t="shared" si="35"/>
        <v>Amplaur et variation d'options de financement pour les fournisseurs.</v>
      </c>
      <c r="BM34" s="39" t="str">
        <f t="shared" si="35"/>
        <v>Amplaur et variation d'options de financement pour les fournisseurs.</v>
      </c>
      <c r="BN34" s="48" t="s">
        <v>814</v>
      </c>
      <c r="BO34" s="40" t="str">
        <f t="shared" si="36"/>
        <v>Les options de financement ne sont disponibles que par l'intermédiation des bailleurs. Faibles investissements en raison de contraintes financières.</v>
      </c>
      <c r="BP34" s="40" t="str">
        <f t="shared" si="36"/>
        <v>Les options de financement ne sont disponibles que par l'intermédiation des bailleurs. Faibles investissements en raison de contraintes financières.</v>
      </c>
      <c r="BQ34" s="40" t="str">
        <f t="shared" si="36"/>
        <v>Les options de financement ne sont disponibles que par l'intermédiation des bailleurs. Faibles investissements en raison de contraintes financières.</v>
      </c>
      <c r="BR34" s="40" t="str">
        <f t="shared" si="36"/>
        <v>Les options de financement ne sont disponibles que par l'intermédiation des bailleurs. Faibles investissements en raison de contraintes financières.</v>
      </c>
      <c r="BS34" s="40" t="str">
        <f t="shared" si="36"/>
        <v>Les options de financement ne sont disponibles que par l'intermédiation des bailleurs. Faibles investissements en raison de contraintes financières.</v>
      </c>
      <c r="BT34" s="40" t="str">
        <f t="shared" si="36"/>
        <v>Les options de financement ne sont disponibles que par l'intermédiation des bailleurs. Faibles investissements en raison de contraintes financières.</v>
      </c>
      <c r="BU34" s="40" t="str">
        <f t="shared" si="36"/>
        <v>Les options de financement ne sont disponibles que par l'intermédiation des bailleurs. Faibles investissements en raison de contraintes financières.</v>
      </c>
      <c r="BV34" s="40" t="str">
        <f t="shared" si="36"/>
        <v>Les options de financement ne sont disponibles que par l'intermédiation des bailleurs. Faibles investissements en raison de contraintes financières.</v>
      </c>
      <c r="BW34" s="40" t="str">
        <f t="shared" si="36"/>
        <v>Les options de financement ne sont disponibles que par l'intermédiation des bailleurs. Faibles investissements en raison de contraintes financières.</v>
      </c>
      <c r="BX34" s="40" t="s">
        <v>885</v>
      </c>
      <c r="BY34" s="41" t="str">
        <f t="shared" si="37"/>
        <v>La plupart des institutions financières locales sont encore réticentes à proposer des financements. Seuls les bailleurs proposent des financements.</v>
      </c>
      <c r="BZ34" s="41" t="str">
        <f t="shared" si="37"/>
        <v>La plupart des institutions financières locales sont encore réticentes à proposer des financements. Seuls les bailleurs proposent des financements.</v>
      </c>
      <c r="CA34" s="41" t="str">
        <f t="shared" si="37"/>
        <v>La plupart des institutions financières locales sont encore réticentes à proposer des financements. Seuls les bailleurs proposent des financements.</v>
      </c>
      <c r="CB34" s="41" t="str">
        <f t="shared" si="37"/>
        <v>La plupart des institutions financières locales sont encore réticentes à proposer des financements. Seuls les bailleurs proposent des financements.</v>
      </c>
      <c r="CC34" s="41" t="str">
        <f t="shared" si="37"/>
        <v>La plupart des institutions financières locales sont encore réticentes à proposer des financements. Seuls les bailleurs proposent des financements.</v>
      </c>
      <c r="CD34" s="41" t="str">
        <f t="shared" si="37"/>
        <v>La plupart des institutions financières locales sont encore réticentes à proposer des financements. Seuls les bailleurs proposent des financements.</v>
      </c>
      <c r="CE34" s="41" t="str">
        <f t="shared" si="37"/>
        <v>La plupart des institutions financières locales sont encore réticentes à proposer des financements. Seuls les bailleurs proposent des financements.</v>
      </c>
      <c r="CF34" s="41" t="str">
        <f t="shared" si="37"/>
        <v>La plupart des institutions financières locales sont encore réticentes à proposer des financements. Seuls les bailleurs proposent des financements.</v>
      </c>
      <c r="CG34" s="41" t="str">
        <f t="shared" si="37"/>
        <v>La plupart des institutions financières locales sont encore réticentes à proposer des financements. Seuls les bailleurs proposent des financements.</v>
      </c>
      <c r="CH34" s="41" t="s">
        <v>1022</v>
      </c>
      <c r="CI34" s="42" t="str">
        <f t="shared" si="38"/>
        <v xml:space="preserve">Les options de financement pour les entreprises sont disponibles car les produits/services sont reconnus comme rentables par les institutions financières locales. </v>
      </c>
      <c r="CJ34" s="42" t="str">
        <f t="shared" si="38"/>
        <v xml:space="preserve">Les options de financement pour les entreprises sont disponibles car les produits/services sont reconnus comme rentables par les institutions financières locales. </v>
      </c>
      <c r="CK34" s="42" t="str">
        <f t="shared" si="38"/>
        <v xml:space="preserve">Les options de financement pour les entreprises sont disponibles car les produits/services sont reconnus comme rentables par les institutions financières locales. </v>
      </c>
      <c r="CL34" s="42" t="str">
        <f t="shared" si="38"/>
        <v xml:space="preserve">Les options de financement pour les entreprises sont disponibles car les produits/services sont reconnus comme rentables par les institutions financières locales. </v>
      </c>
      <c r="CM34" s="42" t="str">
        <f t="shared" si="38"/>
        <v xml:space="preserve">Les options de financement pour les entreprises sont disponibles car les produits/services sont reconnus comme rentables par les institutions financières locales. </v>
      </c>
      <c r="CN34" s="42" t="str">
        <f t="shared" si="38"/>
        <v xml:space="preserve">Les options de financement pour les entreprises sont disponibles car les produits/services sont reconnus comme rentables par les institutions financières locales. </v>
      </c>
      <c r="CO34" s="42" t="str">
        <f t="shared" si="38"/>
        <v xml:space="preserve">Les options de financement pour les entreprises sont disponibles car les produits/services sont reconnus comme rentables par les institutions financières locales. </v>
      </c>
      <c r="CP34" s="42" t="str">
        <f t="shared" si="38"/>
        <v xml:space="preserve">Les options de financement pour les entreprises sont disponibles car les produits/services sont reconnus comme rentables par les institutions financières locales. </v>
      </c>
      <c r="CQ34" s="42" t="str">
        <f t="shared" si="38"/>
        <v xml:space="preserve">Les options de financement pour les entreprises sont disponibles car les produits/services sont reconnus comme rentables par les institutions financières locales. </v>
      </c>
      <c r="CR34" s="42" t="s">
        <v>965</v>
      </c>
      <c r="CS34" s="43" t="str">
        <f t="shared" si="39"/>
        <v>Les institutions financières offrent de bonnes conditions aux entreprises. Les entreprises sont moins limitées par des contraintes financières.</v>
      </c>
      <c r="CT34" s="43" t="str">
        <f t="shared" si="39"/>
        <v>Les institutions financières offrent de bonnes conditions aux entreprises. Les entreprises sont moins limitées par des contraintes financières.</v>
      </c>
      <c r="CU34" s="43" t="str">
        <f t="shared" si="39"/>
        <v>Les institutions financières offrent de bonnes conditions aux entreprises. Les entreprises sont moins limitées par des contraintes financières.</v>
      </c>
      <c r="CV34" s="43" t="str">
        <f t="shared" si="39"/>
        <v>Les institutions financières offrent de bonnes conditions aux entreprises. Les entreprises sont moins limitées par des contraintes financières.</v>
      </c>
      <c r="CW34" s="43" t="str">
        <f t="shared" si="39"/>
        <v>Les institutions financières offrent de bonnes conditions aux entreprises. Les entreprises sont moins limitées par des contraintes financières.</v>
      </c>
      <c r="CX34" s="43" t="str">
        <f t="shared" si="39"/>
        <v>Les institutions financières offrent de bonnes conditions aux entreprises. Les entreprises sont moins limitées par des contraintes financières.</v>
      </c>
      <c r="CY34" s="43" t="str">
        <f t="shared" si="39"/>
        <v>Les institutions financières offrent de bonnes conditions aux entreprises. Les entreprises sont moins limitées par des contraintes financières.</v>
      </c>
      <c r="CZ34" s="43" t="str">
        <f t="shared" si="39"/>
        <v>Les institutions financières offrent de bonnes conditions aux entreprises. Les entreprises sont moins limitées par des contraintes financières.</v>
      </c>
      <c r="DA34" s="43" t="str">
        <f t="shared" si="39"/>
        <v>Les institutions financières offrent de bonnes conditions aux entreprises. Les entreprises sont moins limitées par des contraintes financières.</v>
      </c>
      <c r="DB34" s="43" t="s">
        <v>993</v>
      </c>
      <c r="DC34" s="441"/>
    </row>
    <row r="35" spans="1:107" ht="80.099999999999994" customHeight="1" thickTop="1" thickBot="1" x14ac:dyDescent="0.25">
      <c r="A35" s="244"/>
      <c r="B35" s="643"/>
      <c r="C35" s="489"/>
      <c r="D35" s="49" t="s">
        <v>51</v>
      </c>
      <c r="E35" s="48" t="s">
        <v>574</v>
      </c>
      <c r="F35" s="39" t="str">
        <f t="shared" si="30"/>
        <v>Number and type of financing options for end users.</v>
      </c>
      <c r="G35" s="39" t="str">
        <f t="shared" si="30"/>
        <v>Number and type of financing options for end users.</v>
      </c>
      <c r="H35" s="39" t="str">
        <f t="shared" si="30"/>
        <v>Number and type of financing options for end users.</v>
      </c>
      <c r="I35" s="39" t="str">
        <f t="shared" si="30"/>
        <v>Number and type of financing options for end users.</v>
      </c>
      <c r="J35" s="39" t="str">
        <f t="shared" si="30"/>
        <v>Number and type of financing options for end users.</v>
      </c>
      <c r="K35" s="39" t="str">
        <f t="shared" si="30"/>
        <v>Number and type of financing options for end users.</v>
      </c>
      <c r="L35" s="39" t="str">
        <f t="shared" si="30"/>
        <v>Number and type of financing options for end users.</v>
      </c>
      <c r="M35" s="39" t="str">
        <f t="shared" si="30"/>
        <v>Number and type of financing options for end users.</v>
      </c>
      <c r="N35" s="39" t="str">
        <f t="shared" si="30"/>
        <v>Number and type of financing options for end users.</v>
      </c>
      <c r="O35" s="48" t="s">
        <v>743</v>
      </c>
      <c r="P35" s="40" t="str">
        <f t="shared" si="31"/>
        <v>Neither businesses nor financial institutions offer financing mechanisms for end users.</v>
      </c>
      <c r="Q35" s="40" t="str">
        <f t="shared" si="31"/>
        <v>Neither businesses nor financial institutions offer financing mechanisms for end users.</v>
      </c>
      <c r="R35" s="40" t="str">
        <f t="shared" si="31"/>
        <v>Neither businesses nor financial institutions offer financing mechanisms for end users.</v>
      </c>
      <c r="S35" s="40" t="str">
        <f t="shared" si="31"/>
        <v>Neither businesses nor financial institutions offer financing mechanisms for end users.</v>
      </c>
      <c r="T35" s="40" t="str">
        <f>$Y35</f>
        <v>Neither businesses nor financial institutions offer financing mechanisms for end users.</v>
      </c>
      <c r="U35" s="40" t="str">
        <f t="shared" si="31"/>
        <v>Neither businesses nor financial institutions offer financing mechanisms for end users.</v>
      </c>
      <c r="V35" s="40" t="str">
        <f t="shared" si="31"/>
        <v>Neither businesses nor financial institutions offer financing mechanisms for end users.</v>
      </c>
      <c r="W35" s="40" t="str">
        <f t="shared" si="31"/>
        <v>Neither businesses nor financial institutions offer financing mechanisms for end users.</v>
      </c>
      <c r="X35" s="40" t="str">
        <f t="shared" si="31"/>
        <v>Neither businesses nor financial institutions offer financing mechanisms for end users.</v>
      </c>
      <c r="Y35" s="40" t="s">
        <v>744</v>
      </c>
      <c r="Z35" s="41" t="str">
        <f t="shared" si="32"/>
        <v>Businesses start developing consumer financing mechanisms (PAYGO, micro-loans). Financial institutions begin to offer consumer financing.</v>
      </c>
      <c r="AA35" s="41" t="str">
        <f t="shared" si="32"/>
        <v>Businesses start developing consumer financing mechanisms (PAYGO, micro-loans). Financial institutions begin to offer consumer financing.</v>
      </c>
      <c r="AB35" s="41" t="str">
        <f t="shared" si="32"/>
        <v>Businesses start developing consumer financing mechanisms (PAYGO, micro-loans). Financial institutions begin to offer consumer financing.</v>
      </c>
      <c r="AC35" s="41" t="str">
        <f t="shared" si="32"/>
        <v>Businesses start developing consumer financing mechanisms (PAYGO, micro-loans). Financial institutions begin to offer consumer financing.</v>
      </c>
      <c r="AD35" s="41" t="s">
        <v>689</v>
      </c>
      <c r="AE35" s="41" t="str">
        <f t="shared" si="32"/>
        <v>Businesses start developing consumer financing mechanisms (PAYGO, micro-loans). Financial institutions begin to offer consumer financing.</v>
      </c>
      <c r="AF35" s="41" t="str">
        <f t="shared" si="32"/>
        <v>Businesses start developing consumer financing mechanisms (PAYGO, micro-loans). Financial institutions begin to offer consumer financing.</v>
      </c>
      <c r="AG35" s="41" t="str">
        <f t="shared" si="32"/>
        <v>Businesses start developing consumer financing mechanisms (PAYGO, micro-loans). Financial institutions begin to offer consumer financing.</v>
      </c>
      <c r="AH35" s="41" t="str">
        <f t="shared" si="32"/>
        <v>Businesses start developing consumer financing mechanisms (PAYGO, micro-loans). Financial institutions begin to offer consumer financing.</v>
      </c>
      <c r="AI35" s="41" t="s">
        <v>575</v>
      </c>
      <c r="AJ35" s="42" t="str">
        <f t="shared" si="33"/>
        <v>Businesses established financing mechanisms for their customers. 
Financial institutions offer financing options for end users.</v>
      </c>
      <c r="AK35" s="42" t="str">
        <f t="shared" si="33"/>
        <v>Businesses established financing mechanisms for their customers. 
Financial institutions offer financing options for end users.</v>
      </c>
      <c r="AL35" s="42" t="str">
        <f t="shared" si="33"/>
        <v>Businesses established financing mechanisms for their customers. 
Financial institutions offer financing options for end users.</v>
      </c>
      <c r="AM35" s="42" t="str">
        <f t="shared" si="33"/>
        <v>Businesses established financing mechanisms for their customers. 
Financial institutions offer financing options for end users.</v>
      </c>
      <c r="AN35" s="42" t="str">
        <f>$AS35</f>
        <v>Businesses established financing mechanisms for their customers. 
Financial institutions offer financing options for end users.</v>
      </c>
      <c r="AO35" s="42" t="str">
        <f t="shared" si="33"/>
        <v>Businesses established financing mechanisms for their customers. 
Financial institutions offer financing options for end users.</v>
      </c>
      <c r="AP35" s="42" t="str">
        <f t="shared" si="33"/>
        <v>Businesses established financing mechanisms for their customers. 
Financial institutions offer financing options for end users.</v>
      </c>
      <c r="AQ35" s="42" t="str">
        <f t="shared" si="33"/>
        <v>Businesses established financing mechanisms for their customers. 
Financial institutions offer financing options for end users.</v>
      </c>
      <c r="AR35" s="42" t="str">
        <f t="shared" si="33"/>
        <v>Businesses established financing mechanisms for their customers. 
Financial institutions offer financing options for end users.</v>
      </c>
      <c r="AS35" s="42" t="s">
        <v>745</v>
      </c>
      <c r="AT35" s="43" t="str">
        <f t="shared" si="34"/>
        <v>Businesses and financial institutions offer a great variety of financing mechanisms targeting different customer segments.</v>
      </c>
      <c r="AU35" s="43" t="str">
        <f t="shared" si="34"/>
        <v>Businesses and financial institutions offer a great variety of financing mechanisms targeting different customer segments.</v>
      </c>
      <c r="AV35" s="43" t="str">
        <f t="shared" si="34"/>
        <v>Businesses and financial institutions offer a great variety of financing mechanisms targeting different customer segments.</v>
      </c>
      <c r="AW35" s="43" t="str">
        <f t="shared" si="34"/>
        <v>Businesses and financial institutions offer a great variety of financing mechanisms targeting different customer segments.</v>
      </c>
      <c r="AX35" s="43" t="str">
        <f t="shared" si="34"/>
        <v>Businesses and financial institutions offer a great variety of financing mechanisms targeting different customer segments.</v>
      </c>
      <c r="AY35" s="43" t="str">
        <f t="shared" si="34"/>
        <v>Businesses and financial institutions offer a great variety of financing mechanisms targeting different customer segments.</v>
      </c>
      <c r="AZ35" s="43" t="str">
        <f t="shared" si="34"/>
        <v>Businesses and financial institutions offer a great variety of financing mechanisms targeting different customer segments.</v>
      </c>
      <c r="BA35" s="43" t="str">
        <f t="shared" si="34"/>
        <v>Businesses and financial institutions offer a great variety of financing mechanisms targeting different customer segments.</v>
      </c>
      <c r="BB35" s="43" t="str">
        <f t="shared" si="34"/>
        <v>Businesses and financial institutions offer a great variety of financing mechanisms targeting different customer segments.</v>
      </c>
      <c r="BC35" s="43" t="s">
        <v>576</v>
      </c>
      <c r="BD35" s="244"/>
      <c r="BE35" s="39" t="str">
        <f t="shared" si="35"/>
        <v>Ampleur et variation d'options de financement pour les utilisateurs finaux.</v>
      </c>
      <c r="BF35" s="39" t="str">
        <f t="shared" si="35"/>
        <v>Ampleur et variation d'options de financement pour les utilisateurs finaux.</v>
      </c>
      <c r="BG35" s="39" t="str">
        <f t="shared" si="35"/>
        <v>Ampleur et variation d'options de financement pour les utilisateurs finaux.</v>
      </c>
      <c r="BH35" s="39" t="str">
        <f t="shared" si="35"/>
        <v>Ampleur et variation d'options de financement pour les utilisateurs finaux.</v>
      </c>
      <c r="BI35" s="39" t="str">
        <f t="shared" si="35"/>
        <v>Ampleur et variation d'options de financement pour les utilisateurs finaux.</v>
      </c>
      <c r="BJ35" s="39" t="str">
        <f t="shared" si="35"/>
        <v>Ampleur et variation d'options de financement pour les utilisateurs finaux.</v>
      </c>
      <c r="BK35" s="39" t="str">
        <f t="shared" si="35"/>
        <v>Ampleur et variation d'options de financement pour les utilisateurs finaux.</v>
      </c>
      <c r="BL35" s="39" t="str">
        <f t="shared" si="35"/>
        <v>Ampleur et variation d'options de financement pour les utilisateurs finaux.</v>
      </c>
      <c r="BM35" s="39" t="str">
        <f t="shared" si="35"/>
        <v>Ampleur et variation d'options de financement pour les utilisateurs finaux.</v>
      </c>
      <c r="BN35" s="48" t="s">
        <v>815</v>
      </c>
      <c r="BO35" s="40" t="str">
        <f t="shared" si="36"/>
        <v>Ni les entreprises, ni les institutions financières ne proposent de mécanismes de financement aux utilisateurs finaux.</v>
      </c>
      <c r="BP35" s="40" t="str">
        <f t="shared" si="36"/>
        <v>Ni les entreprises, ni les institutions financières ne proposent de mécanismes de financement aux utilisateurs finaux.</v>
      </c>
      <c r="BQ35" s="40" t="str">
        <f t="shared" si="36"/>
        <v>Ni les entreprises, ni les institutions financières ne proposent de mécanismes de financement aux utilisateurs finaux.</v>
      </c>
      <c r="BR35" s="40" t="str">
        <f t="shared" si="36"/>
        <v>Ni les entreprises, ni les institutions financières ne proposent de mécanismes de financement aux utilisateurs finaux.</v>
      </c>
      <c r="BS35" s="40" t="str">
        <f t="shared" si="36"/>
        <v>Ni les entreprises, ni les institutions financières ne proposent de mécanismes de financement aux utilisateurs finaux.</v>
      </c>
      <c r="BT35" s="40" t="str">
        <f t="shared" si="36"/>
        <v>Ni les entreprises, ni les institutions financières ne proposent de mécanismes de financement aux utilisateurs finaux.</v>
      </c>
      <c r="BU35" s="40" t="str">
        <f t="shared" si="36"/>
        <v>Ni les entreprises, ni les institutions financières ne proposent de mécanismes de financement aux utilisateurs finaux.</v>
      </c>
      <c r="BV35" s="40" t="str">
        <f t="shared" si="36"/>
        <v>Ni les entreprises, ni les institutions financières ne proposent de mécanismes de financement aux utilisateurs finaux.</v>
      </c>
      <c r="BW35" s="40" t="str">
        <f t="shared" si="36"/>
        <v>Ni les entreprises, ni les institutions financières ne proposent de mécanismes de financement aux utilisateurs finaux.</v>
      </c>
      <c r="BX35" s="40" t="s">
        <v>886</v>
      </c>
      <c r="BY35" s="41" t="str">
        <f t="shared" si="37"/>
        <v>Les entreprises commencent à développer le financement pour les clients (ex. PAYGO). Les institutions financières commencent à financer les consommateurs.</v>
      </c>
      <c r="BZ35" s="41" t="str">
        <f t="shared" si="37"/>
        <v>Les entreprises commencent à développer le financement pour les clients (ex. PAYGO). Les institutions financières commencent à financer les consommateurs.</v>
      </c>
      <c r="CA35" s="41" t="str">
        <f t="shared" si="37"/>
        <v>Les entreprises commencent à développer le financement pour les clients (ex. PAYGO). Les institutions financières commencent à financer les consommateurs.</v>
      </c>
      <c r="CB35" s="41" t="str">
        <f t="shared" si="37"/>
        <v>Les entreprises commencent à développer le financement pour les clients (ex. PAYGO). Les institutions financières commencent à financer les consommateurs.</v>
      </c>
      <c r="CC35" s="41" t="str">
        <f t="shared" si="37"/>
        <v>Les entreprises commencent à développer le financement pour les clients (ex. PAYGO). Les institutions financières commencent à financer les consommateurs.</v>
      </c>
      <c r="CD35" s="41" t="str">
        <f t="shared" si="37"/>
        <v>Les entreprises commencent à développer le financement pour les clients (ex. PAYGO). Les institutions financières commencent à financer les consommateurs.</v>
      </c>
      <c r="CE35" s="41" t="str">
        <f t="shared" si="37"/>
        <v>Les entreprises commencent à développer le financement pour les clients (ex. PAYGO). Les institutions financières commencent à financer les consommateurs.</v>
      </c>
      <c r="CF35" s="41" t="str">
        <f t="shared" si="37"/>
        <v>Les entreprises commencent à développer le financement pour les clients (ex. PAYGO). Les institutions financières commencent à financer les consommateurs.</v>
      </c>
      <c r="CG35" s="41" t="str">
        <f t="shared" si="37"/>
        <v>Les entreprises commencent à développer le financement pour les clients (ex. PAYGO). Les institutions financières commencent à financer les consommateurs.</v>
      </c>
      <c r="CH35" s="41" t="s">
        <v>1023</v>
      </c>
      <c r="CI35" s="42" t="str">
        <f t="shared" si="38"/>
        <v>Les entreprises ont mis en place des mécanismes de financement pour leurs clients. Les institutions financières offrent des options de financement aux utilisateurs finaux.</v>
      </c>
      <c r="CJ35" s="42" t="str">
        <f t="shared" si="38"/>
        <v>Les entreprises ont mis en place des mécanismes de financement pour leurs clients. Les institutions financières offrent des options de financement aux utilisateurs finaux.</v>
      </c>
      <c r="CK35" s="42" t="str">
        <f t="shared" si="38"/>
        <v>Les entreprises ont mis en place des mécanismes de financement pour leurs clients. Les institutions financières offrent des options de financement aux utilisateurs finaux.</v>
      </c>
      <c r="CL35" s="42" t="str">
        <f t="shared" si="38"/>
        <v>Les entreprises ont mis en place des mécanismes de financement pour leurs clients. Les institutions financières offrent des options de financement aux utilisateurs finaux.</v>
      </c>
      <c r="CM35" s="42" t="str">
        <f t="shared" si="38"/>
        <v>Les entreprises ont mis en place des mécanismes de financement pour leurs clients. Les institutions financières offrent des options de financement aux utilisateurs finaux.</v>
      </c>
      <c r="CN35" s="42" t="str">
        <f t="shared" si="38"/>
        <v>Les entreprises ont mis en place des mécanismes de financement pour leurs clients. Les institutions financières offrent des options de financement aux utilisateurs finaux.</v>
      </c>
      <c r="CO35" s="42" t="str">
        <f t="shared" si="38"/>
        <v>Les entreprises ont mis en place des mécanismes de financement pour leurs clients. Les institutions financières offrent des options de financement aux utilisateurs finaux.</v>
      </c>
      <c r="CP35" s="42" t="str">
        <f t="shared" si="38"/>
        <v>Les entreprises ont mis en place des mécanismes de financement pour leurs clients. Les institutions financières offrent des options de financement aux utilisateurs finaux.</v>
      </c>
      <c r="CQ35" s="42" t="str">
        <f t="shared" si="38"/>
        <v>Les entreprises ont mis en place des mécanismes de financement pour leurs clients. Les institutions financières offrent des options de financement aux utilisateurs finaux.</v>
      </c>
      <c r="CR35" s="42" t="s">
        <v>1024</v>
      </c>
      <c r="CS35" s="43" t="str">
        <f t="shared" si="39"/>
        <v>Les entreprises et les institutions financières proposent une grande variété de mécanismes de financement ciblant différents segments de clientèle.</v>
      </c>
      <c r="CT35" s="43" t="str">
        <f t="shared" si="39"/>
        <v>Les entreprises et les institutions financières proposent une grande variété de mécanismes de financement ciblant différents segments de clientèle.</v>
      </c>
      <c r="CU35" s="43" t="str">
        <f t="shared" si="39"/>
        <v>Les entreprises et les institutions financières proposent une grande variété de mécanismes de financement ciblant différents segments de clientèle.</v>
      </c>
      <c r="CV35" s="43" t="str">
        <f t="shared" si="39"/>
        <v>Les entreprises et les institutions financières proposent une grande variété de mécanismes de financement ciblant différents segments de clientèle.</v>
      </c>
      <c r="CW35" s="43" t="str">
        <f t="shared" si="39"/>
        <v>Les entreprises et les institutions financières proposent une grande variété de mécanismes de financement ciblant différents segments de clientèle.</v>
      </c>
      <c r="CX35" s="43" t="str">
        <f t="shared" si="39"/>
        <v>Les entreprises et les institutions financières proposent une grande variété de mécanismes de financement ciblant différents segments de clientèle.</v>
      </c>
      <c r="CY35" s="43" t="str">
        <f t="shared" si="39"/>
        <v>Les entreprises et les institutions financières proposent une grande variété de mécanismes de financement ciblant différents segments de clientèle.</v>
      </c>
      <c r="CZ35" s="43" t="str">
        <f t="shared" si="39"/>
        <v>Les entreprises et les institutions financières proposent une grande variété de mécanismes de financement ciblant différents segments de clientèle.</v>
      </c>
      <c r="DA35" s="43" t="str">
        <f t="shared" si="39"/>
        <v>Les entreprises et les institutions financières proposent une grande variété de mécanismes de financement ciblant différents segments de clientèle.</v>
      </c>
      <c r="DB35" s="43" t="s">
        <v>994</v>
      </c>
      <c r="DC35" s="441"/>
    </row>
    <row r="36" spans="1:107" ht="80.099999999999994" customHeight="1" thickTop="1" thickBot="1" x14ac:dyDescent="0.25">
      <c r="A36" s="244"/>
      <c r="B36" s="643"/>
      <c r="C36" s="489" t="s">
        <v>179</v>
      </c>
      <c r="D36" s="49" t="s">
        <v>52</v>
      </c>
      <c r="E36" s="48" t="s">
        <v>180</v>
      </c>
      <c r="F36" s="39" t="str">
        <f t="shared" si="30"/>
        <v>The existence of regulations, norms, labels and standards for the quality of products/ services.</v>
      </c>
      <c r="G36" s="39" t="str">
        <f t="shared" si="30"/>
        <v>The existence of regulations, norms, labels and standards for the quality of products/ services.</v>
      </c>
      <c r="H36" s="39" t="str">
        <f t="shared" si="30"/>
        <v>The existence of regulations, norms, labels and standards for the quality of products/ services.</v>
      </c>
      <c r="I36" s="39" t="str">
        <f t="shared" si="30"/>
        <v>The existence of regulations, norms, labels and standards for the quality of products/ services.</v>
      </c>
      <c r="J36" s="48" t="s">
        <v>577</v>
      </c>
      <c r="K36" s="39" t="str">
        <f t="shared" si="30"/>
        <v>The existence of regulations, norms, labels and standards for the quality of products/ services.</v>
      </c>
      <c r="L36" s="39" t="str">
        <f t="shared" si="30"/>
        <v>The existence of regulations, norms, labels and standards for the quality of products/ services.</v>
      </c>
      <c r="M36" s="39" t="str">
        <f t="shared" si="30"/>
        <v>The existence of regulations, norms, labels and standards for the quality of products/ services.</v>
      </c>
      <c r="N36" s="39" t="str">
        <f t="shared" si="30"/>
        <v>The existence of regulations, norms, labels and standards for the quality of products/ services.</v>
      </c>
      <c r="O36" s="48" t="s">
        <v>740</v>
      </c>
      <c r="P36" s="40" t="str">
        <f t="shared" si="31"/>
        <v>No quality codes and standards that set a baseline level of quality, durability, and truth-in-advertising</v>
      </c>
      <c r="Q36" s="40" t="str">
        <f t="shared" si="31"/>
        <v>No quality codes and standards that set a baseline level of quality, durability, and truth-in-advertising</v>
      </c>
      <c r="R36" s="40" t="str">
        <f t="shared" si="31"/>
        <v>No quality codes and standards that set a baseline level of quality, durability, and truth-in-advertising</v>
      </c>
      <c r="S36" s="40" t="str">
        <f t="shared" si="31"/>
        <v>No quality codes and standards that set a baseline level of quality, durability, and truth-in-advertising</v>
      </c>
      <c r="T36" s="40" t="str">
        <f t="shared" si="31"/>
        <v>No quality codes and standards that set a baseline level of quality, durability, and truth-in-advertising</v>
      </c>
      <c r="U36" s="40" t="str">
        <f t="shared" si="31"/>
        <v>No quality codes and standards that set a baseline level of quality, durability, and truth-in-advertising</v>
      </c>
      <c r="V36" s="40" t="str">
        <f t="shared" si="31"/>
        <v>No quality codes and standards that set a baseline level of quality, durability, and truth-in-advertising</v>
      </c>
      <c r="W36" s="40" t="str">
        <f t="shared" si="31"/>
        <v>No quality codes and standards that set a baseline level of quality, durability, and truth-in-advertising</v>
      </c>
      <c r="X36" s="40" t="str">
        <f t="shared" si="31"/>
        <v>No quality codes and standards that set a baseline level of quality, durability, and truth-in-advertising</v>
      </c>
      <c r="Y36" s="40" t="s">
        <v>578</v>
      </c>
      <c r="Z36" s="41" t="str">
        <f t="shared" si="32"/>
        <v>Regulators start working on or consider appropriate codes and standards.</v>
      </c>
      <c r="AA36" s="41" t="str">
        <f t="shared" si="32"/>
        <v>Regulators start working on or consider appropriate codes and standards.</v>
      </c>
      <c r="AB36" s="41" t="str">
        <f t="shared" si="32"/>
        <v>Regulators start working on or consider appropriate codes and standards.</v>
      </c>
      <c r="AC36" s="41" t="str">
        <f t="shared" si="32"/>
        <v>Regulators start working on or consider appropriate codes and standards.</v>
      </c>
      <c r="AD36" s="41" t="str">
        <f t="shared" si="32"/>
        <v>Regulators start working on or consider appropriate codes and standards.</v>
      </c>
      <c r="AE36" s="41" t="str">
        <f t="shared" si="32"/>
        <v>Regulators start working on or consider appropriate codes and standards.</v>
      </c>
      <c r="AF36" s="41" t="str">
        <f t="shared" si="32"/>
        <v>Regulators start working on or consider appropriate codes and standards.</v>
      </c>
      <c r="AG36" s="41" t="str">
        <f t="shared" si="32"/>
        <v>Regulators start working on or consider appropriate codes and standards.</v>
      </c>
      <c r="AH36" s="41" t="str">
        <f t="shared" si="32"/>
        <v>Regulators start working on or consider appropriate codes and standards.</v>
      </c>
      <c r="AI36" s="41" t="s">
        <v>579</v>
      </c>
      <c r="AJ36" s="42" t="str">
        <f t="shared" si="33"/>
        <v>Regulators adopt national or international codes and standards.</v>
      </c>
      <c r="AK36" s="42" t="str">
        <f t="shared" si="33"/>
        <v>Regulators adopt national or international codes and standards.</v>
      </c>
      <c r="AL36" s="42" t="str">
        <f t="shared" si="33"/>
        <v>Regulators adopt national or international codes and standards.</v>
      </c>
      <c r="AM36" s="42" t="str">
        <f t="shared" si="33"/>
        <v>Regulators adopt national or international codes and standards.</v>
      </c>
      <c r="AN36" s="42" t="str">
        <f t="shared" si="33"/>
        <v>Regulators adopt national or international codes and standards.</v>
      </c>
      <c r="AO36" s="42" t="str">
        <f t="shared" si="33"/>
        <v>Regulators adopt national or international codes and standards.</v>
      </c>
      <c r="AP36" s="42" t="str">
        <f t="shared" si="33"/>
        <v>Regulators adopt national or international codes and standards.</v>
      </c>
      <c r="AQ36" s="42" t="str">
        <f t="shared" si="33"/>
        <v>Regulators adopt national or international codes and standards.</v>
      </c>
      <c r="AR36" s="42" t="str">
        <f t="shared" si="33"/>
        <v>Regulators adopt national or international codes and standards.</v>
      </c>
      <c r="AS36" s="42" t="s">
        <v>580</v>
      </c>
      <c r="AT36" s="43" t="str">
        <f t="shared" si="34"/>
        <v>Suppliers are bound to quality codes and standards.</v>
      </c>
      <c r="AU36" s="43" t="str">
        <f t="shared" si="34"/>
        <v>Suppliers are bound to quality codes and standards.</v>
      </c>
      <c r="AV36" s="43" t="str">
        <f t="shared" si="34"/>
        <v>Suppliers are bound to quality codes and standards.</v>
      </c>
      <c r="AW36" s="43" t="str">
        <f t="shared" si="34"/>
        <v>Suppliers are bound to quality codes and standards.</v>
      </c>
      <c r="AX36" s="43" t="str">
        <f t="shared" si="34"/>
        <v>Suppliers are bound to quality codes and standards.</v>
      </c>
      <c r="AY36" s="43" t="str">
        <f t="shared" si="34"/>
        <v>Suppliers are bound to quality codes and standards.</v>
      </c>
      <c r="AZ36" s="43" t="str">
        <f t="shared" si="34"/>
        <v>Suppliers are bound to quality codes and standards.</v>
      </c>
      <c r="BA36" s="43" t="str">
        <f t="shared" si="34"/>
        <v>Suppliers are bound to quality codes and standards.</v>
      </c>
      <c r="BB36" s="43" t="str">
        <f t="shared" si="34"/>
        <v>Suppliers are bound to quality codes and standards.</v>
      </c>
      <c r="BC36" s="43" t="s">
        <v>581</v>
      </c>
      <c r="BD36" s="244"/>
      <c r="BE36" s="39" t="str">
        <f t="shared" si="35"/>
        <v>Existence de réglementations, de normes, de labels et de standards pour la qualité des produits/services.</v>
      </c>
      <c r="BF36" s="39" t="str">
        <f t="shared" si="35"/>
        <v>Existence de réglementations, de normes, de labels et de standards pour la qualité des produits/services.</v>
      </c>
      <c r="BG36" s="39" t="str">
        <f t="shared" si="35"/>
        <v>Existence de réglementations, de normes, de labels et de standards pour la qualité des produits/services.</v>
      </c>
      <c r="BH36" s="39" t="str">
        <f t="shared" si="35"/>
        <v>Existence de réglementations, de normes, de labels et de standards pour la qualité des produits/services.</v>
      </c>
      <c r="BI36" s="39" t="s">
        <v>824</v>
      </c>
      <c r="BJ36" s="39" t="str">
        <f t="shared" si="35"/>
        <v>Existence de réglementations, de normes, de labels et de standards pour la qualité des produits/services.</v>
      </c>
      <c r="BK36" s="39" t="str">
        <f t="shared" si="35"/>
        <v>Existence de réglementations, de normes, de labels et de standards pour la qualité des produits/services.</v>
      </c>
      <c r="BL36" s="39" t="str">
        <f t="shared" si="35"/>
        <v>Existence de réglementations, de normes, de labels et de standards pour la qualité des produits/services.</v>
      </c>
      <c r="BM36" s="39" t="str">
        <f t="shared" si="35"/>
        <v>Existence de réglementations, de normes, de labels et de standards pour la qualité des produits/services.</v>
      </c>
      <c r="BN36" s="48" t="s">
        <v>816</v>
      </c>
      <c r="BO36" s="40" t="str">
        <f t="shared" si="36"/>
        <v>Absence de normes de qualité fixant un niveau de référence en matière de qualité, de durabilité et de credibilité du marketing.</v>
      </c>
      <c r="BP36" s="40" t="str">
        <f t="shared" si="36"/>
        <v>Absence de normes de qualité fixant un niveau de référence en matière de qualité, de durabilité et de credibilité du marketing.</v>
      </c>
      <c r="BQ36" s="40" t="str">
        <f t="shared" si="36"/>
        <v>Absence de normes de qualité fixant un niveau de référence en matière de qualité, de durabilité et de credibilité du marketing.</v>
      </c>
      <c r="BR36" s="40" t="str">
        <f t="shared" si="36"/>
        <v>Absence de normes de qualité fixant un niveau de référence en matière de qualité, de durabilité et de credibilité du marketing.</v>
      </c>
      <c r="BS36" s="40" t="str">
        <f t="shared" si="36"/>
        <v>Absence de normes de qualité fixant un niveau de référence en matière de qualité, de durabilité et de credibilité du marketing.</v>
      </c>
      <c r="BT36" s="40" t="str">
        <f t="shared" si="36"/>
        <v>Absence de normes de qualité fixant un niveau de référence en matière de qualité, de durabilité et de credibilité du marketing.</v>
      </c>
      <c r="BU36" s="40" t="str">
        <f t="shared" si="36"/>
        <v>Absence de normes de qualité fixant un niveau de référence en matière de qualité, de durabilité et de credibilité du marketing.</v>
      </c>
      <c r="BV36" s="40" t="str">
        <f t="shared" si="36"/>
        <v>Absence de normes de qualité fixant un niveau de référence en matière de qualité, de durabilité et de credibilité du marketing.</v>
      </c>
      <c r="BW36" s="40" t="str">
        <f t="shared" si="36"/>
        <v>Absence de normes de qualité fixant un niveau de référence en matière de qualité, de durabilité et de credibilité du marketing.</v>
      </c>
      <c r="BX36" s="40" t="s">
        <v>887</v>
      </c>
      <c r="BY36" s="41" t="str">
        <f t="shared" si="37"/>
        <v>Les régulateurs commencent à travailler sur des codes et des normes appropriés ou envisagent de le faire.</v>
      </c>
      <c r="BZ36" s="41" t="str">
        <f t="shared" si="37"/>
        <v>Les régulateurs commencent à travailler sur des codes et des normes appropriés ou envisagent de le faire.</v>
      </c>
      <c r="CA36" s="41" t="str">
        <f t="shared" si="37"/>
        <v>Les régulateurs commencent à travailler sur des codes et des normes appropriés ou envisagent de le faire.</v>
      </c>
      <c r="CB36" s="41" t="str">
        <f t="shared" si="37"/>
        <v>Les régulateurs commencent à travailler sur des codes et des normes appropriés ou envisagent de le faire.</v>
      </c>
      <c r="CC36" s="41" t="str">
        <f t="shared" si="37"/>
        <v>Les régulateurs commencent à travailler sur des codes et des normes appropriés ou envisagent de le faire.</v>
      </c>
      <c r="CD36" s="41" t="str">
        <f t="shared" si="37"/>
        <v>Les régulateurs commencent à travailler sur des codes et des normes appropriés ou envisagent de le faire.</v>
      </c>
      <c r="CE36" s="41" t="str">
        <f t="shared" si="37"/>
        <v>Les régulateurs commencent à travailler sur des codes et des normes appropriés ou envisagent de le faire.</v>
      </c>
      <c r="CF36" s="41" t="str">
        <f t="shared" si="37"/>
        <v>Les régulateurs commencent à travailler sur des codes et des normes appropriés ou envisagent de le faire.</v>
      </c>
      <c r="CG36" s="41" t="str">
        <f t="shared" si="37"/>
        <v>Les régulateurs commencent à travailler sur des codes et des normes appropriés ou envisagent de le faire.</v>
      </c>
      <c r="CH36" s="41" t="s">
        <v>931</v>
      </c>
      <c r="CI36" s="42" t="str">
        <f t="shared" si="38"/>
        <v>Les régulateurs adoptent des codes et des normes nationaux ou internationaux.</v>
      </c>
      <c r="CJ36" s="42" t="str">
        <f t="shared" si="38"/>
        <v>Les régulateurs adoptent des codes et des normes nationaux ou internationaux.</v>
      </c>
      <c r="CK36" s="42" t="str">
        <f t="shared" si="38"/>
        <v>Les régulateurs adoptent des codes et des normes nationaux ou internationaux.</v>
      </c>
      <c r="CL36" s="42" t="str">
        <f t="shared" si="38"/>
        <v>Les régulateurs adoptent des codes et des normes nationaux ou internationaux.</v>
      </c>
      <c r="CM36" s="42" t="str">
        <f t="shared" si="38"/>
        <v>Les régulateurs adoptent des codes et des normes nationaux ou internationaux.</v>
      </c>
      <c r="CN36" s="42" t="str">
        <f t="shared" si="38"/>
        <v>Les régulateurs adoptent des codes et des normes nationaux ou internationaux.</v>
      </c>
      <c r="CO36" s="42" t="str">
        <f t="shared" si="38"/>
        <v>Les régulateurs adoptent des codes et des normes nationaux ou internationaux.</v>
      </c>
      <c r="CP36" s="42" t="str">
        <f t="shared" si="38"/>
        <v>Les régulateurs adoptent des codes et des normes nationaux ou internationaux.</v>
      </c>
      <c r="CQ36" s="42" t="str">
        <f t="shared" si="38"/>
        <v>Les régulateurs adoptent des codes et des normes nationaux ou internationaux.</v>
      </c>
      <c r="CR36" s="42" t="s">
        <v>966</v>
      </c>
      <c r="CS36" s="43" t="str">
        <f t="shared" si="39"/>
        <v>Les fournisseurs sont tenus de respecter des codes et des normes de qualité.</v>
      </c>
      <c r="CT36" s="43" t="str">
        <f t="shared" si="39"/>
        <v>Les fournisseurs sont tenus de respecter des codes et des normes de qualité.</v>
      </c>
      <c r="CU36" s="43" t="str">
        <f t="shared" si="39"/>
        <v>Les fournisseurs sont tenus de respecter des codes et des normes de qualité.</v>
      </c>
      <c r="CV36" s="43" t="str">
        <f t="shared" si="39"/>
        <v>Les fournisseurs sont tenus de respecter des codes et des normes de qualité.</v>
      </c>
      <c r="CW36" s="43" t="str">
        <f t="shared" si="39"/>
        <v>Les fournisseurs sont tenus de respecter des codes et des normes de qualité.</v>
      </c>
      <c r="CX36" s="43" t="str">
        <f t="shared" si="39"/>
        <v>Les fournisseurs sont tenus de respecter des codes et des normes de qualité.</v>
      </c>
      <c r="CY36" s="43" t="str">
        <f t="shared" si="39"/>
        <v>Les fournisseurs sont tenus de respecter des codes et des normes de qualité.</v>
      </c>
      <c r="CZ36" s="43" t="str">
        <f t="shared" si="39"/>
        <v>Les fournisseurs sont tenus de respecter des codes et des normes de qualité.</v>
      </c>
      <c r="DA36" s="43" t="str">
        <f t="shared" si="39"/>
        <v>Les fournisseurs sont tenus de respecter des codes et des normes de qualité.</v>
      </c>
      <c r="DB36" s="43" t="s">
        <v>995</v>
      </c>
      <c r="DC36" s="441"/>
    </row>
    <row r="37" spans="1:107" ht="80.099999999999994" customHeight="1" thickTop="1" thickBot="1" x14ac:dyDescent="0.25">
      <c r="A37" s="244"/>
      <c r="B37" s="643"/>
      <c r="C37" s="489"/>
      <c r="D37" s="49" t="s">
        <v>53</v>
      </c>
      <c r="E37" s="48" t="s">
        <v>181</v>
      </c>
      <c r="F37" s="39" t="str">
        <f t="shared" si="30"/>
        <v>The extent to which suppliers comply with quality regulations.</v>
      </c>
      <c r="G37" s="39" t="str">
        <f t="shared" si="30"/>
        <v>The extent to which suppliers comply with quality regulations.</v>
      </c>
      <c r="H37" s="39" t="str">
        <f t="shared" si="30"/>
        <v>The extent to which suppliers comply with quality regulations.</v>
      </c>
      <c r="I37" s="39" t="str">
        <f t="shared" si="30"/>
        <v>The extent to which suppliers comply with quality regulations.</v>
      </c>
      <c r="J37" s="39" t="str">
        <f t="shared" si="30"/>
        <v>The extent to which suppliers comply with quality regulations.</v>
      </c>
      <c r="K37" s="39" t="str">
        <f t="shared" si="30"/>
        <v>The extent to which suppliers comply with quality regulations.</v>
      </c>
      <c r="L37" s="39" t="str">
        <f t="shared" si="30"/>
        <v>The extent to which suppliers comply with quality regulations.</v>
      </c>
      <c r="M37" s="39" t="str">
        <f t="shared" si="30"/>
        <v>The extent to which suppliers comply with quality regulations.</v>
      </c>
      <c r="N37" s="39" t="str">
        <f t="shared" si="30"/>
        <v>The extent to which suppliers comply with quality regulations.</v>
      </c>
      <c r="O37" s="48" t="s">
        <v>1039</v>
      </c>
      <c r="P37" s="40" t="str">
        <f t="shared" si="31"/>
        <v>No enforcement of regulation, norms, and standrads is yet in place.</v>
      </c>
      <c r="Q37" s="40" t="str">
        <f t="shared" si="31"/>
        <v>No enforcement of regulation, norms, and standrads is yet in place.</v>
      </c>
      <c r="R37" s="40" t="str">
        <f t="shared" si="31"/>
        <v>No enforcement of regulation, norms, and standrads is yet in place.</v>
      </c>
      <c r="S37" s="40" t="str">
        <f t="shared" si="31"/>
        <v>No enforcement of regulation, norms, and standrads is yet in place.</v>
      </c>
      <c r="T37" s="40" t="str">
        <f t="shared" si="31"/>
        <v>No enforcement of regulation, norms, and standrads is yet in place.</v>
      </c>
      <c r="U37" s="40" t="str">
        <f t="shared" si="31"/>
        <v>No enforcement of regulation, norms, and standrads is yet in place.</v>
      </c>
      <c r="V37" s="40" t="str">
        <f t="shared" si="31"/>
        <v>No enforcement of regulation, norms, and standrads is yet in place.</v>
      </c>
      <c r="W37" s="40" t="str">
        <f t="shared" si="31"/>
        <v>No enforcement of regulation, norms, and standrads is yet in place.</v>
      </c>
      <c r="X37" s="40" t="str">
        <f t="shared" si="31"/>
        <v>No enforcement of regulation, norms, and standrads is yet in place.</v>
      </c>
      <c r="Y37" s="40" t="s">
        <v>713</v>
      </c>
      <c r="Z37" s="41" t="str">
        <f t="shared" si="32"/>
        <v>Enforcement is not yet effective, however, some suppliers comply (wholly or partially) with voluntary and/or international standards.</v>
      </c>
      <c r="AA37" s="41" t="str">
        <f t="shared" si="32"/>
        <v>Enforcement is not yet effective, however, some suppliers comply (wholly or partially) with voluntary and/or international standards.</v>
      </c>
      <c r="AB37" s="41" t="str">
        <f t="shared" si="32"/>
        <v>Enforcement is not yet effective, however, some suppliers comply (wholly or partially) with voluntary and/or international standards.</v>
      </c>
      <c r="AC37" s="41" t="str">
        <f t="shared" si="32"/>
        <v>Enforcement is not yet effective, however, some suppliers comply (wholly or partially) with voluntary and/or international standards.</v>
      </c>
      <c r="AD37" s="41" t="str">
        <f t="shared" si="32"/>
        <v>Enforcement is not yet effective, however, some suppliers comply (wholly or partially) with voluntary and/or international standards.</v>
      </c>
      <c r="AE37" s="41" t="str">
        <f t="shared" si="32"/>
        <v>Enforcement is not yet effective, however, some suppliers comply (wholly or partially) with voluntary and/or international standards.</v>
      </c>
      <c r="AF37" s="41" t="str">
        <f t="shared" si="32"/>
        <v>Enforcement is not yet effective, however, some suppliers comply (wholly or partially) with voluntary and/or international standards.</v>
      </c>
      <c r="AG37" s="41" t="str">
        <f t="shared" si="32"/>
        <v>Enforcement is not yet effective, however, some suppliers comply (wholly or partially) with voluntary and/or international standards.</v>
      </c>
      <c r="AH37" s="41" t="str">
        <f t="shared" si="32"/>
        <v>Enforcement is not yet effective, however, some suppliers comply (wholly or partially) with voluntary and/or international standards.</v>
      </c>
      <c r="AI37" s="41" t="s">
        <v>714</v>
      </c>
      <c r="AJ37" s="42" t="str">
        <f t="shared" si="33"/>
        <v>Enforcement/compliance is partially effective, however, unorganized and incomplete.</v>
      </c>
      <c r="AK37" s="42" t="str">
        <f t="shared" si="33"/>
        <v>Enforcement/compliance is partially effective, however, unorganized and incomplete.</v>
      </c>
      <c r="AL37" s="42" t="str">
        <f t="shared" si="33"/>
        <v>Enforcement/compliance is partially effective, however, unorganized and incomplete.</v>
      </c>
      <c r="AM37" s="42" t="str">
        <f t="shared" si="33"/>
        <v>Enforcement/compliance is partially effective, however, unorganized and incomplete.</v>
      </c>
      <c r="AN37" s="42" t="str">
        <f t="shared" si="33"/>
        <v>Enforcement/compliance is partially effective, however, unorganized and incomplete.</v>
      </c>
      <c r="AO37" s="42" t="str">
        <f t="shared" si="33"/>
        <v>Enforcement/compliance is partially effective, however, unorganized and incomplete.</v>
      </c>
      <c r="AP37" s="42" t="str">
        <f t="shared" si="33"/>
        <v>Enforcement/compliance is partially effective, however, unorganized and incomplete.</v>
      </c>
      <c r="AQ37" s="42" t="str">
        <f t="shared" si="33"/>
        <v>Enforcement/compliance is partially effective, however, unorganized and incomplete.</v>
      </c>
      <c r="AR37" s="42" t="str">
        <f t="shared" si="33"/>
        <v>Enforcement/compliance is partially effective, however, unorganized and incomplete.</v>
      </c>
      <c r="AS37" s="42" t="s">
        <v>712</v>
      </c>
      <c r="AT37" s="43" t="str">
        <f t="shared" si="34"/>
        <v>Enforcement/compliance is working well.</v>
      </c>
      <c r="AU37" s="43" t="str">
        <f t="shared" si="34"/>
        <v>Enforcement/compliance is working well.</v>
      </c>
      <c r="AV37" s="43" t="str">
        <f t="shared" si="34"/>
        <v>Enforcement/compliance is working well.</v>
      </c>
      <c r="AW37" s="43" t="str">
        <f t="shared" si="34"/>
        <v>Enforcement/compliance is working well.</v>
      </c>
      <c r="AX37" s="43" t="str">
        <f t="shared" si="34"/>
        <v>Enforcement/compliance is working well.</v>
      </c>
      <c r="AY37" s="43" t="str">
        <f t="shared" si="34"/>
        <v>Enforcement/compliance is working well.</v>
      </c>
      <c r="AZ37" s="43" t="str">
        <f t="shared" si="34"/>
        <v>Enforcement/compliance is working well.</v>
      </c>
      <c r="BA37" s="43" t="str">
        <f t="shared" si="34"/>
        <v>Enforcement/compliance is working well.</v>
      </c>
      <c r="BB37" s="43" t="str">
        <f t="shared" si="34"/>
        <v>Enforcement/compliance is working well.</v>
      </c>
      <c r="BC37" s="43" t="s">
        <v>582</v>
      </c>
      <c r="BD37" s="244"/>
      <c r="BE37" s="39" t="str">
        <f t="shared" si="35"/>
        <v>Le niveau de conformité des fournisseurs à la réglementation en matière de qualité.</v>
      </c>
      <c r="BF37" s="39" t="str">
        <f t="shared" si="35"/>
        <v>Le niveau de conformité des fournisseurs à la réglementation en matière de qualité.</v>
      </c>
      <c r="BG37" s="39" t="str">
        <f t="shared" si="35"/>
        <v>Le niveau de conformité des fournisseurs à la réglementation en matière de qualité.</v>
      </c>
      <c r="BH37" s="39" t="str">
        <f t="shared" si="35"/>
        <v>Le niveau de conformité des fournisseurs à la réglementation en matière de qualité.</v>
      </c>
      <c r="BI37" s="39" t="str">
        <f t="shared" si="35"/>
        <v>Le niveau de conformité des fournisseurs à la réglementation en matière de qualité.</v>
      </c>
      <c r="BJ37" s="39" t="str">
        <f t="shared" si="35"/>
        <v>Le niveau de conformité des fournisseurs à la réglementation en matière de qualité.</v>
      </c>
      <c r="BK37" s="39" t="str">
        <f t="shared" si="35"/>
        <v>Le niveau de conformité des fournisseurs à la réglementation en matière de qualité.</v>
      </c>
      <c r="BL37" s="39" t="str">
        <f t="shared" si="35"/>
        <v>Le niveau de conformité des fournisseurs à la réglementation en matière de qualité.</v>
      </c>
      <c r="BM37" s="39" t="str">
        <f t="shared" si="35"/>
        <v>Le niveau de conformité des fournisseurs à la réglementation en matière de qualité.</v>
      </c>
      <c r="BN37" s="48" t="s">
        <v>817</v>
      </c>
      <c r="BO37" s="40" t="str">
        <f t="shared" si="36"/>
        <v>Aucune application de la réglementation, des normes et des standards n'est encore en place.</v>
      </c>
      <c r="BP37" s="40" t="str">
        <f t="shared" si="36"/>
        <v>Aucune application de la réglementation, des normes et des standards n'est encore en place.</v>
      </c>
      <c r="BQ37" s="40" t="str">
        <f t="shared" si="36"/>
        <v>Aucune application de la réglementation, des normes et des standards n'est encore en place.</v>
      </c>
      <c r="BR37" s="40" t="str">
        <f t="shared" si="36"/>
        <v>Aucune application de la réglementation, des normes et des standards n'est encore en place.</v>
      </c>
      <c r="BS37" s="40" t="str">
        <f t="shared" si="36"/>
        <v>Aucune application de la réglementation, des normes et des standards n'est encore en place.</v>
      </c>
      <c r="BT37" s="40" t="str">
        <f t="shared" si="36"/>
        <v>Aucune application de la réglementation, des normes et des standards n'est encore en place.</v>
      </c>
      <c r="BU37" s="40" t="str">
        <f t="shared" si="36"/>
        <v>Aucune application de la réglementation, des normes et des standards n'est encore en place.</v>
      </c>
      <c r="BV37" s="40" t="str">
        <f t="shared" si="36"/>
        <v>Aucune application de la réglementation, des normes et des standards n'est encore en place.</v>
      </c>
      <c r="BW37" s="40" t="str">
        <f t="shared" si="36"/>
        <v>Aucune application de la réglementation, des normes et des standards n'est encore en place.</v>
      </c>
      <c r="BX37" s="40" t="s">
        <v>888</v>
      </c>
      <c r="BY37" s="41" t="str">
        <f t="shared" si="37"/>
        <v>La mise en œuvre n'est pas encore effective, mais certains fournisseurs se conforment (entièrement ou partiellement) aux normes volontaires et/ou internationales.</v>
      </c>
      <c r="BZ37" s="41" t="str">
        <f t="shared" si="37"/>
        <v>La mise en œuvre n'est pas encore effective, mais certains fournisseurs se conforment (entièrement ou partiellement) aux normes volontaires et/ou internationales.</v>
      </c>
      <c r="CA37" s="41" t="str">
        <f t="shared" si="37"/>
        <v>La mise en œuvre n'est pas encore effective, mais certains fournisseurs se conforment (entièrement ou partiellement) aux normes volontaires et/ou internationales.</v>
      </c>
      <c r="CB37" s="41" t="str">
        <f t="shared" si="37"/>
        <v>La mise en œuvre n'est pas encore effective, mais certains fournisseurs se conforment (entièrement ou partiellement) aux normes volontaires et/ou internationales.</v>
      </c>
      <c r="CC37" s="41" t="str">
        <f t="shared" si="37"/>
        <v>La mise en œuvre n'est pas encore effective, mais certains fournisseurs se conforment (entièrement ou partiellement) aux normes volontaires et/ou internationales.</v>
      </c>
      <c r="CD37" s="41" t="str">
        <f t="shared" si="37"/>
        <v>La mise en œuvre n'est pas encore effective, mais certains fournisseurs se conforment (entièrement ou partiellement) aux normes volontaires et/ou internationales.</v>
      </c>
      <c r="CE37" s="41" t="str">
        <f t="shared" si="37"/>
        <v>La mise en œuvre n'est pas encore effective, mais certains fournisseurs se conforment (entièrement ou partiellement) aux normes volontaires et/ou internationales.</v>
      </c>
      <c r="CF37" s="41" t="str">
        <f t="shared" si="37"/>
        <v>La mise en œuvre n'est pas encore effective, mais certains fournisseurs se conforment (entièrement ou partiellement) aux normes volontaires et/ou internationales.</v>
      </c>
      <c r="CG37" s="41" t="str">
        <f t="shared" si="37"/>
        <v>La mise en œuvre n'est pas encore effective, mais certains fournisseurs se conforment (entièrement ou partiellement) aux normes volontaires et/ou internationales.</v>
      </c>
      <c r="CH37" s="41" t="s">
        <v>932</v>
      </c>
      <c r="CI37" s="42" t="str">
        <f t="shared" si="38"/>
        <v>La mise en application/conformité est partiellement efficace, mais elle est inorganisée et incomplète.</v>
      </c>
      <c r="CJ37" s="42" t="str">
        <f t="shared" si="38"/>
        <v>La mise en application/conformité est partiellement efficace, mais elle est inorganisée et incomplète.</v>
      </c>
      <c r="CK37" s="42" t="str">
        <f t="shared" si="38"/>
        <v>La mise en application/conformité est partiellement efficace, mais elle est inorganisée et incomplète.</v>
      </c>
      <c r="CL37" s="42" t="str">
        <f t="shared" si="38"/>
        <v>La mise en application/conformité est partiellement efficace, mais elle est inorganisée et incomplète.</v>
      </c>
      <c r="CM37" s="42" t="str">
        <f t="shared" si="38"/>
        <v>La mise en application/conformité est partiellement efficace, mais elle est inorganisée et incomplète.</v>
      </c>
      <c r="CN37" s="42" t="str">
        <f t="shared" si="38"/>
        <v>La mise en application/conformité est partiellement efficace, mais elle est inorganisée et incomplète.</v>
      </c>
      <c r="CO37" s="42" t="str">
        <f t="shared" si="38"/>
        <v>La mise en application/conformité est partiellement efficace, mais elle est inorganisée et incomplète.</v>
      </c>
      <c r="CP37" s="42" t="str">
        <f t="shared" si="38"/>
        <v>La mise en application/conformité est partiellement efficace, mais elle est inorganisée et incomplète.</v>
      </c>
      <c r="CQ37" s="42" t="str">
        <f t="shared" si="38"/>
        <v>La mise en application/conformité est partiellement efficace, mais elle est inorganisée et incomplète.</v>
      </c>
      <c r="CR37" s="42" t="s">
        <v>967</v>
      </c>
      <c r="CS37" s="43" t="str">
        <f t="shared" si="39"/>
        <v>L'application/le respect des règles fonctionne bien.</v>
      </c>
      <c r="CT37" s="43" t="str">
        <f t="shared" si="39"/>
        <v>L'application/le respect des règles fonctionne bien.</v>
      </c>
      <c r="CU37" s="43" t="str">
        <f t="shared" si="39"/>
        <v>L'application/le respect des règles fonctionne bien.</v>
      </c>
      <c r="CV37" s="43" t="str">
        <f t="shared" si="39"/>
        <v>L'application/le respect des règles fonctionne bien.</v>
      </c>
      <c r="CW37" s="43" t="str">
        <f t="shared" si="39"/>
        <v>L'application/le respect des règles fonctionne bien.</v>
      </c>
      <c r="CX37" s="43" t="str">
        <f t="shared" si="39"/>
        <v>L'application/le respect des règles fonctionne bien.</v>
      </c>
      <c r="CY37" s="43" t="str">
        <f t="shared" si="39"/>
        <v>L'application/le respect des règles fonctionne bien.</v>
      </c>
      <c r="CZ37" s="43" t="str">
        <f t="shared" si="39"/>
        <v>L'application/le respect des règles fonctionne bien.</v>
      </c>
      <c r="DA37" s="43" t="str">
        <f t="shared" si="39"/>
        <v>L'application/le respect des règles fonctionne bien.</v>
      </c>
      <c r="DB37" s="43" t="s">
        <v>996</v>
      </c>
      <c r="DC37" s="441"/>
    </row>
    <row r="38" spans="1:107" ht="80.099999999999994" customHeight="1" thickTop="1" thickBot="1" x14ac:dyDescent="0.25">
      <c r="A38" s="244"/>
      <c r="B38" s="643"/>
      <c r="C38" s="489" t="s">
        <v>182</v>
      </c>
      <c r="D38" s="49" t="s">
        <v>54</v>
      </c>
      <c r="E38" s="48" t="s">
        <v>100</v>
      </c>
      <c r="F38" s="39" t="str">
        <f t="shared" si="30"/>
        <v>Availability of information concerning products, prices, and the rules governing the market and the supporting functions.</v>
      </c>
      <c r="G38" s="39" t="str">
        <f t="shared" si="30"/>
        <v>Availability of information concerning products, prices, and the rules governing the market and the supporting functions.</v>
      </c>
      <c r="H38" s="39" t="str">
        <f t="shared" si="30"/>
        <v>Availability of information concerning products, prices, and the rules governing the market and the supporting functions.</v>
      </c>
      <c r="I38" s="39" t="str">
        <f t="shared" si="30"/>
        <v>Availability of information concerning products, prices, and the rules governing the market and the supporting functions.</v>
      </c>
      <c r="J38" s="39" t="str">
        <f t="shared" si="30"/>
        <v>Availability of information concerning products, prices, and the rules governing the market and the supporting functions.</v>
      </c>
      <c r="K38" s="39" t="str">
        <f t="shared" si="30"/>
        <v>Availability of information concerning products, prices, and the rules governing the market and the supporting functions.</v>
      </c>
      <c r="L38" s="39" t="str">
        <f t="shared" si="30"/>
        <v>Availability of information concerning products, prices, and the rules governing the market and the supporting functions.</v>
      </c>
      <c r="M38" s="39" t="str">
        <f t="shared" si="30"/>
        <v>Availability of information concerning products, prices, and the rules governing the market and the supporting functions.</v>
      </c>
      <c r="N38" s="39" t="str">
        <f t="shared" si="30"/>
        <v>Availability of information concerning products, prices, and the rules governing the market and the supporting functions.</v>
      </c>
      <c r="O38" s="48" t="s">
        <v>709</v>
      </c>
      <c r="P38" s="40" t="str">
        <f t="shared" si="31"/>
        <v>It is difficult for most market participants to acquire knowledge on products and prices as well as the rules governing the market.</v>
      </c>
      <c r="Q38" s="40" t="str">
        <f t="shared" si="31"/>
        <v>It is difficult for most market participants to acquire knowledge on products and prices as well as the rules governing the market.</v>
      </c>
      <c r="R38" s="40" t="str">
        <f t="shared" si="31"/>
        <v>It is difficult for most market participants to acquire knowledge on products and prices as well as the rules governing the market.</v>
      </c>
      <c r="S38" s="40" t="str">
        <f t="shared" si="31"/>
        <v>It is difficult for most market participants to acquire knowledge on products and prices as well as the rules governing the market.</v>
      </c>
      <c r="T38" s="40" t="str">
        <f t="shared" si="31"/>
        <v>It is difficult for most market participants to acquire knowledge on products and prices as well as the rules governing the market.</v>
      </c>
      <c r="U38" s="40" t="str">
        <f t="shared" si="31"/>
        <v>It is difficult for most market participants to acquire knowledge on products and prices as well as the rules governing the market.</v>
      </c>
      <c r="V38" s="40" t="str">
        <f t="shared" si="31"/>
        <v>It is difficult for most market participants to acquire knowledge on products and prices as well as the rules governing the market.</v>
      </c>
      <c r="W38" s="40" t="str">
        <f t="shared" si="31"/>
        <v>It is difficult for most market participants to acquire knowledge on products and prices as well as the rules governing the market.</v>
      </c>
      <c r="X38" s="40" t="str">
        <f t="shared" si="31"/>
        <v>It is difficult for most market participants to acquire knowledge on products and prices as well as the rules governing the market.</v>
      </c>
      <c r="Y38" s="40" t="s">
        <v>722</v>
      </c>
      <c r="Z38" s="41" t="str">
        <f t="shared" si="32"/>
        <v>Donors and government facilitate market information. Still cumbersome for market participants to acquire information.</v>
      </c>
      <c r="AA38" s="41" t="str">
        <f t="shared" si="32"/>
        <v>Donors and government facilitate market information. Still cumbersome for market participants to acquire information.</v>
      </c>
      <c r="AB38" s="41" t="str">
        <f t="shared" si="32"/>
        <v>Donors and government facilitate market information. Still cumbersome for market participants to acquire information.</v>
      </c>
      <c r="AC38" s="41" t="str">
        <f t="shared" si="32"/>
        <v>Donors and government facilitate market information. Still cumbersome for market participants to acquire information.</v>
      </c>
      <c r="AD38" s="41" t="str">
        <f t="shared" si="32"/>
        <v>Donors and government facilitate market information. Still cumbersome for market participants to acquire information.</v>
      </c>
      <c r="AE38" s="41" t="str">
        <f t="shared" si="32"/>
        <v>Donors and government facilitate market information. Still cumbersome for market participants to acquire information.</v>
      </c>
      <c r="AF38" s="41" t="str">
        <f t="shared" si="32"/>
        <v>Donors and government facilitate market information. Still cumbersome for market participants to acquire information.</v>
      </c>
      <c r="AG38" s="41" t="str">
        <f t="shared" si="32"/>
        <v>Donors and government facilitate market information. Still cumbersome for market participants to acquire information.</v>
      </c>
      <c r="AH38" s="41" t="str">
        <f t="shared" si="32"/>
        <v>Donors and government facilitate market information. Still cumbersome for market participants to acquire information.</v>
      </c>
      <c r="AI38" s="41" t="s">
        <v>721</v>
      </c>
      <c r="AJ38" s="42" t="str">
        <f t="shared" si="33"/>
        <v>Consumers and suppliers can more easily acquire market information.</v>
      </c>
      <c r="AK38" s="42" t="str">
        <f t="shared" si="33"/>
        <v>Consumers and suppliers can more easily acquire market information.</v>
      </c>
      <c r="AL38" s="42" t="str">
        <f t="shared" si="33"/>
        <v>Consumers and suppliers can more easily acquire market information.</v>
      </c>
      <c r="AM38" s="42" t="str">
        <f t="shared" si="33"/>
        <v>Consumers and suppliers can more easily acquire market information.</v>
      </c>
      <c r="AN38" s="42" t="str">
        <f t="shared" si="33"/>
        <v>Consumers and suppliers can more easily acquire market information.</v>
      </c>
      <c r="AO38" s="42" t="str">
        <f t="shared" si="33"/>
        <v>Consumers and suppliers can more easily acquire market information.</v>
      </c>
      <c r="AP38" s="42" t="str">
        <f t="shared" si="33"/>
        <v>Consumers and suppliers can more easily acquire market information.</v>
      </c>
      <c r="AQ38" s="42" t="str">
        <f t="shared" si="33"/>
        <v>Consumers and suppliers can more easily acquire market information.</v>
      </c>
      <c r="AR38" s="42" t="str">
        <f t="shared" si="33"/>
        <v>Consumers and suppliers can more easily acquire market information.</v>
      </c>
      <c r="AS38" s="42" t="s">
        <v>718</v>
      </c>
      <c r="AT38" s="43" t="str">
        <f t="shared" si="34"/>
        <v>Information on different products, suppliers, prices, and the rules governing the market is publicly available and easily accessible.</v>
      </c>
      <c r="AU38" s="43" t="str">
        <f t="shared" si="34"/>
        <v>Information on different products, suppliers, prices, and the rules governing the market is publicly available and easily accessible.</v>
      </c>
      <c r="AV38" s="43" t="str">
        <f t="shared" si="34"/>
        <v>Information on different products, suppliers, prices, and the rules governing the market is publicly available and easily accessible.</v>
      </c>
      <c r="AW38" s="43" t="str">
        <f t="shared" si="34"/>
        <v>Information on different products, suppliers, prices, and the rules governing the market is publicly available and easily accessible.</v>
      </c>
      <c r="AX38" s="43" t="str">
        <f t="shared" si="34"/>
        <v>Information on different products, suppliers, prices, and the rules governing the market is publicly available and easily accessible.</v>
      </c>
      <c r="AY38" s="43" t="str">
        <f t="shared" si="34"/>
        <v>Information on different products, suppliers, prices, and the rules governing the market is publicly available and easily accessible.</v>
      </c>
      <c r="AZ38" s="43" t="str">
        <f t="shared" si="34"/>
        <v>Information on different products, suppliers, prices, and the rules governing the market is publicly available and easily accessible.</v>
      </c>
      <c r="BA38" s="43" t="str">
        <f t="shared" si="34"/>
        <v>Information on different products, suppliers, prices, and the rules governing the market is publicly available and easily accessible.</v>
      </c>
      <c r="BB38" s="43" t="str">
        <f t="shared" si="34"/>
        <v>Information on different products, suppliers, prices, and the rules governing the market is publicly available and easily accessible.</v>
      </c>
      <c r="BC38" s="43" t="s">
        <v>720</v>
      </c>
      <c r="BD38" s="244"/>
      <c r="BE38" s="39" t="str">
        <f t="shared" si="35"/>
        <v>Disponibilité des informations concernant les produits, les prix et les règles régissant le marché et les services associés.</v>
      </c>
      <c r="BF38" s="39" t="str">
        <f t="shared" si="35"/>
        <v>Disponibilité des informations concernant les produits, les prix et les règles régissant le marché et les services associés.</v>
      </c>
      <c r="BG38" s="39" t="str">
        <f t="shared" si="35"/>
        <v>Disponibilité des informations concernant les produits, les prix et les règles régissant le marché et les services associés.</v>
      </c>
      <c r="BH38" s="39" t="str">
        <f t="shared" si="35"/>
        <v>Disponibilité des informations concernant les produits, les prix et les règles régissant le marché et les services associés.</v>
      </c>
      <c r="BI38" s="39" t="str">
        <f t="shared" si="35"/>
        <v>Disponibilité des informations concernant les produits, les prix et les règles régissant le marché et les services associés.</v>
      </c>
      <c r="BJ38" s="39" t="str">
        <f t="shared" si="35"/>
        <v>Disponibilité des informations concernant les produits, les prix et les règles régissant le marché et les services associés.</v>
      </c>
      <c r="BK38" s="39" t="str">
        <f t="shared" si="35"/>
        <v>Disponibilité des informations concernant les produits, les prix et les règles régissant le marché et les services associés.</v>
      </c>
      <c r="BL38" s="39" t="str">
        <f t="shared" si="35"/>
        <v>Disponibilité des informations concernant les produits, les prix et les règles régissant le marché et les services associés.</v>
      </c>
      <c r="BM38" s="39" t="str">
        <f t="shared" si="35"/>
        <v>Disponibilité des informations concernant les produits, les prix et les règles régissant le marché et les services associés.</v>
      </c>
      <c r="BN38" s="48" t="s">
        <v>818</v>
      </c>
      <c r="BO38" s="40" t="str">
        <f t="shared" si="36"/>
        <v>Il est difficile pour la plupart des acteurs du marché d'acquérir l'information sur les produits et les prix, ainsi que sur les règles régissant le marché.</v>
      </c>
      <c r="BP38" s="40" t="str">
        <f t="shared" si="36"/>
        <v>Il est difficile pour la plupart des acteurs du marché d'acquérir l'information sur les produits et les prix, ainsi que sur les règles régissant le marché.</v>
      </c>
      <c r="BQ38" s="40" t="str">
        <f t="shared" si="36"/>
        <v>Il est difficile pour la plupart des acteurs du marché d'acquérir l'information sur les produits et les prix, ainsi que sur les règles régissant le marché.</v>
      </c>
      <c r="BR38" s="40" t="str">
        <f t="shared" si="36"/>
        <v>Il est difficile pour la plupart des acteurs du marché d'acquérir l'information sur les produits et les prix, ainsi que sur les règles régissant le marché.</v>
      </c>
      <c r="BS38" s="40" t="str">
        <f t="shared" si="36"/>
        <v>Il est difficile pour la plupart des acteurs du marché d'acquérir l'information sur les produits et les prix, ainsi que sur les règles régissant le marché.</v>
      </c>
      <c r="BT38" s="40" t="str">
        <f t="shared" si="36"/>
        <v>Il est difficile pour la plupart des acteurs du marché d'acquérir l'information sur les produits et les prix, ainsi que sur les règles régissant le marché.</v>
      </c>
      <c r="BU38" s="40" t="str">
        <f t="shared" si="36"/>
        <v>Il est difficile pour la plupart des acteurs du marché d'acquérir l'information sur les produits et les prix, ainsi que sur les règles régissant le marché.</v>
      </c>
      <c r="BV38" s="40" t="str">
        <f t="shared" si="36"/>
        <v>Il est difficile pour la plupart des acteurs du marché d'acquérir l'information sur les produits et les prix, ainsi que sur les règles régissant le marché.</v>
      </c>
      <c r="BW38" s="40" t="str">
        <f t="shared" si="36"/>
        <v>Il est difficile pour la plupart des acteurs du marché d'acquérir l'information sur les produits et les prix, ainsi que sur les règles régissant le marché.</v>
      </c>
      <c r="BX38" s="40" t="s">
        <v>889</v>
      </c>
      <c r="BY38" s="41" t="str">
        <f t="shared" si="37"/>
        <v>Les bailleurs et le gouvernement facilitent l'information sur le marché. Il est toujours difficile pour les acteurs du marché d'obtenir des informations</v>
      </c>
      <c r="BZ38" s="41" t="str">
        <f t="shared" si="37"/>
        <v>Les bailleurs et le gouvernement facilitent l'information sur le marché. Il est toujours difficile pour les acteurs du marché d'obtenir des informations</v>
      </c>
      <c r="CA38" s="41" t="str">
        <f t="shared" si="37"/>
        <v>Les bailleurs et le gouvernement facilitent l'information sur le marché. Il est toujours difficile pour les acteurs du marché d'obtenir des informations</v>
      </c>
      <c r="CB38" s="41" t="str">
        <f t="shared" si="37"/>
        <v>Les bailleurs et le gouvernement facilitent l'information sur le marché. Il est toujours difficile pour les acteurs du marché d'obtenir des informations</v>
      </c>
      <c r="CC38" s="41" t="str">
        <f t="shared" si="37"/>
        <v>Les bailleurs et le gouvernement facilitent l'information sur le marché. Il est toujours difficile pour les acteurs du marché d'obtenir des informations</v>
      </c>
      <c r="CD38" s="41" t="str">
        <f t="shared" si="37"/>
        <v>Les bailleurs et le gouvernement facilitent l'information sur le marché. Il est toujours difficile pour les acteurs du marché d'obtenir des informations</v>
      </c>
      <c r="CE38" s="41" t="str">
        <f t="shared" si="37"/>
        <v>Les bailleurs et le gouvernement facilitent l'information sur le marché. Il est toujours difficile pour les acteurs du marché d'obtenir des informations</v>
      </c>
      <c r="CF38" s="41" t="str">
        <f t="shared" si="37"/>
        <v>Les bailleurs et le gouvernement facilitent l'information sur le marché. Il est toujours difficile pour les acteurs du marché d'obtenir des informations</v>
      </c>
      <c r="CG38" s="41" t="str">
        <f t="shared" si="37"/>
        <v>Les bailleurs et le gouvernement facilitent l'information sur le marché. Il est toujours difficile pour les acteurs du marché d'obtenir des informations</v>
      </c>
      <c r="CH38" s="41" t="s">
        <v>934</v>
      </c>
      <c r="CI38" s="42" t="str">
        <f t="shared" si="38"/>
        <v>Les consommateurs et les fournisseurs peuvent plus facilement obtenir des informations sur le marché.</v>
      </c>
      <c r="CJ38" s="42" t="str">
        <f t="shared" si="38"/>
        <v>Les consommateurs et les fournisseurs peuvent plus facilement obtenir des informations sur le marché.</v>
      </c>
      <c r="CK38" s="42" t="str">
        <f t="shared" si="38"/>
        <v>Les consommateurs et les fournisseurs peuvent plus facilement obtenir des informations sur le marché.</v>
      </c>
      <c r="CL38" s="42" t="str">
        <f t="shared" si="38"/>
        <v>Les consommateurs et les fournisseurs peuvent plus facilement obtenir des informations sur le marché.</v>
      </c>
      <c r="CM38" s="42" t="str">
        <f t="shared" si="38"/>
        <v>Les consommateurs et les fournisseurs peuvent plus facilement obtenir des informations sur le marché.</v>
      </c>
      <c r="CN38" s="42" t="str">
        <f t="shared" si="38"/>
        <v>Les consommateurs et les fournisseurs peuvent plus facilement obtenir des informations sur le marché.</v>
      </c>
      <c r="CO38" s="42" t="str">
        <f t="shared" si="38"/>
        <v>Les consommateurs et les fournisseurs peuvent plus facilement obtenir des informations sur le marché.</v>
      </c>
      <c r="CP38" s="42" t="str">
        <f t="shared" si="38"/>
        <v>Les consommateurs et les fournisseurs peuvent plus facilement obtenir des informations sur le marché.</v>
      </c>
      <c r="CQ38" s="42" t="str">
        <f t="shared" si="38"/>
        <v>Les consommateurs et les fournisseurs peuvent plus facilement obtenir des informations sur le marché.</v>
      </c>
      <c r="CR38" s="42" t="s">
        <v>968</v>
      </c>
      <c r="CS38" s="43" t="str">
        <f t="shared" si="39"/>
        <v>Les informations sur les différents produits, les fournisseurs, les prix et les règles régissant le marché sont disponibles publiquement et facilement accessibles.</v>
      </c>
      <c r="CT38" s="43" t="str">
        <f t="shared" si="39"/>
        <v>Les informations sur les différents produits, les fournisseurs, les prix et les règles régissant le marché sont disponibles publiquement et facilement accessibles.</v>
      </c>
      <c r="CU38" s="43" t="str">
        <f t="shared" si="39"/>
        <v>Les informations sur les différents produits, les fournisseurs, les prix et les règles régissant le marché sont disponibles publiquement et facilement accessibles.</v>
      </c>
      <c r="CV38" s="43" t="str">
        <f t="shared" si="39"/>
        <v>Les informations sur les différents produits, les fournisseurs, les prix et les règles régissant le marché sont disponibles publiquement et facilement accessibles.</v>
      </c>
      <c r="CW38" s="43" t="str">
        <f t="shared" si="39"/>
        <v>Les informations sur les différents produits, les fournisseurs, les prix et les règles régissant le marché sont disponibles publiquement et facilement accessibles.</v>
      </c>
      <c r="CX38" s="43" t="str">
        <f t="shared" si="39"/>
        <v>Les informations sur les différents produits, les fournisseurs, les prix et les règles régissant le marché sont disponibles publiquement et facilement accessibles.</v>
      </c>
      <c r="CY38" s="43" t="str">
        <f t="shared" si="39"/>
        <v>Les informations sur les différents produits, les fournisseurs, les prix et les règles régissant le marché sont disponibles publiquement et facilement accessibles.</v>
      </c>
      <c r="CZ38" s="43" t="str">
        <f t="shared" si="39"/>
        <v>Les informations sur les différents produits, les fournisseurs, les prix et les règles régissant le marché sont disponibles publiquement et facilement accessibles.</v>
      </c>
      <c r="DA38" s="43" t="str">
        <f t="shared" si="39"/>
        <v>Les informations sur les différents produits, les fournisseurs, les prix et les règles régissant le marché sont disponibles publiquement et facilement accessibles.</v>
      </c>
      <c r="DB38" s="43" t="s">
        <v>997</v>
      </c>
      <c r="DC38" s="441"/>
    </row>
    <row r="39" spans="1:107" ht="80.099999999999994" customHeight="1" thickTop="1" thickBot="1" x14ac:dyDescent="0.25">
      <c r="A39" s="244"/>
      <c r="B39" s="643"/>
      <c r="C39" s="489"/>
      <c r="D39" s="49" t="s">
        <v>55</v>
      </c>
      <c r="E39" s="48" t="s">
        <v>184</v>
      </c>
      <c r="F39" s="39" t="str">
        <f t="shared" si="30"/>
        <v>Existence of independent consumer and supplier associations.</v>
      </c>
      <c r="G39" s="39" t="str">
        <f t="shared" si="30"/>
        <v>Existence of independent consumer and supplier associations.</v>
      </c>
      <c r="H39" s="39" t="str">
        <f t="shared" si="30"/>
        <v>Existence of independent consumer and supplier associations.</v>
      </c>
      <c r="I39" s="39" t="str">
        <f t="shared" si="30"/>
        <v>Existence of independent consumer and supplier associations.</v>
      </c>
      <c r="J39" s="39" t="str">
        <f t="shared" si="30"/>
        <v>Existence of independent consumer and supplier associations.</v>
      </c>
      <c r="K39" s="39" t="str">
        <f t="shared" si="30"/>
        <v>Existence of independent consumer and supplier associations.</v>
      </c>
      <c r="L39" s="39" t="str">
        <f t="shared" si="30"/>
        <v>Existence of independent consumer and supplier associations.</v>
      </c>
      <c r="M39" s="39" t="str">
        <f t="shared" si="30"/>
        <v>Existence of independent consumer and supplier associations.</v>
      </c>
      <c r="N39" s="39" t="str">
        <f t="shared" si="30"/>
        <v>Existence of independent consumer and supplier associations.</v>
      </c>
      <c r="O39" s="48" t="s">
        <v>741</v>
      </c>
      <c r="P39" s="40" t="str">
        <f t="shared" si="31"/>
        <v>Public or private, or a mix of market facilitation organizations are non-existent.</v>
      </c>
      <c r="Q39" s="40" t="str">
        <f t="shared" si="31"/>
        <v>Public or private, or a mix of market facilitation organizations are non-existent.</v>
      </c>
      <c r="R39" s="40" t="str">
        <f t="shared" si="31"/>
        <v>Public or private, or a mix of market facilitation organizations are non-existent.</v>
      </c>
      <c r="S39" s="40" t="str">
        <f t="shared" si="31"/>
        <v>Public or private, or a mix of market facilitation organizations are non-existent.</v>
      </c>
      <c r="T39" s="40" t="str">
        <f t="shared" si="31"/>
        <v>Public or private, or a mix of market facilitation organizations are non-existent.</v>
      </c>
      <c r="U39" s="40" t="str">
        <f t="shared" si="31"/>
        <v>Public or private, or a mix of market facilitation organizations are non-existent.</v>
      </c>
      <c r="V39" s="40" t="str">
        <f t="shared" si="31"/>
        <v>Public or private, or a mix of market facilitation organizations are non-existent.</v>
      </c>
      <c r="W39" s="40" t="str">
        <f t="shared" si="31"/>
        <v>Public or private, or a mix of market facilitation organizations are non-existent.</v>
      </c>
      <c r="X39" s="40" t="str">
        <f t="shared" si="31"/>
        <v>Public or private, or a mix of market facilitation organizations are non-existent.</v>
      </c>
      <c r="Y39" s="40" t="s">
        <v>583</v>
      </c>
      <c r="Z39" s="41" t="str">
        <f t="shared" si="32"/>
        <v>Emergence of public funded market facilitation organization planned and/or in the process to be established.</v>
      </c>
      <c r="AA39" s="41" t="str">
        <f t="shared" si="32"/>
        <v>Emergence of public funded market facilitation organization planned and/or in the process to be established.</v>
      </c>
      <c r="AB39" s="41" t="str">
        <f t="shared" si="32"/>
        <v>Emergence of public funded market facilitation organization planned and/or in the process to be established.</v>
      </c>
      <c r="AC39" s="41" t="str">
        <f t="shared" si="32"/>
        <v>Emergence of public funded market facilitation organization planned and/or in the process to be established.</v>
      </c>
      <c r="AD39" s="41" t="str">
        <f t="shared" si="32"/>
        <v>Emergence of public funded market facilitation organization planned and/or in the process to be established.</v>
      </c>
      <c r="AE39" s="41" t="str">
        <f t="shared" si="32"/>
        <v>Emergence of public funded market facilitation organization planned and/or in the process to be established.</v>
      </c>
      <c r="AF39" s="41" t="str">
        <f t="shared" si="32"/>
        <v>Emergence of public funded market facilitation organization planned and/or in the process to be established.</v>
      </c>
      <c r="AG39" s="41" t="str">
        <f t="shared" si="32"/>
        <v>Emergence of public funded market facilitation organization planned and/or in the process to be established.</v>
      </c>
      <c r="AH39" s="41" t="str">
        <f t="shared" si="32"/>
        <v>Emergence of public funded market facilitation organization planned and/or in the process to be established.</v>
      </c>
      <c r="AI39" s="41" t="s">
        <v>584</v>
      </c>
      <c r="AJ39" s="42" t="str">
        <f t="shared" si="33"/>
        <v>Emergence of public and/or private market facilitation organizations.</v>
      </c>
      <c r="AK39" s="42" t="str">
        <f t="shared" si="33"/>
        <v>Emergence of public and/or private market facilitation organizations.</v>
      </c>
      <c r="AL39" s="42" t="str">
        <f t="shared" si="33"/>
        <v>Emergence of public and/or private market facilitation organizations.</v>
      </c>
      <c r="AM39" s="42" t="str">
        <f t="shared" si="33"/>
        <v>Emergence of public and/or private market facilitation organizations.</v>
      </c>
      <c r="AN39" s="42" t="str">
        <f t="shared" si="33"/>
        <v>Emergence of public and/or private market facilitation organizations.</v>
      </c>
      <c r="AO39" s="42" t="str">
        <f t="shared" si="33"/>
        <v>Emergence of public and/or private market facilitation organizations.</v>
      </c>
      <c r="AP39" s="42" t="str">
        <f t="shared" si="33"/>
        <v>Emergence of public and/or private market facilitation organizations.</v>
      </c>
      <c r="AQ39" s="42" t="str">
        <f t="shared" si="33"/>
        <v>Emergence of public and/or private market facilitation organizations.</v>
      </c>
      <c r="AR39" s="42" t="str">
        <f t="shared" si="33"/>
        <v>Emergence of public and/or private market facilitation organizations.</v>
      </c>
      <c r="AS39" s="42" t="s">
        <v>585</v>
      </c>
      <c r="AT39" s="43" t="str">
        <f t="shared" si="34"/>
        <v>Well-established  and effective market facilitation organizations</v>
      </c>
      <c r="AU39" s="43" t="str">
        <f t="shared" si="34"/>
        <v>Well-established  and effective market facilitation organizations</v>
      </c>
      <c r="AV39" s="43" t="str">
        <f t="shared" si="34"/>
        <v>Well-established  and effective market facilitation organizations</v>
      </c>
      <c r="AW39" s="43" t="str">
        <f t="shared" si="34"/>
        <v>Well-established  and effective market facilitation organizations</v>
      </c>
      <c r="AX39" s="43" t="str">
        <f t="shared" si="34"/>
        <v>Well-established  and effective market facilitation organizations</v>
      </c>
      <c r="AY39" s="43" t="str">
        <f t="shared" si="34"/>
        <v>Well-established  and effective market facilitation organizations</v>
      </c>
      <c r="AZ39" s="43" t="str">
        <f t="shared" si="34"/>
        <v>Well-established  and effective market facilitation organizations</v>
      </c>
      <c r="BA39" s="43" t="str">
        <f t="shared" si="34"/>
        <v>Well-established  and effective market facilitation organizations</v>
      </c>
      <c r="BB39" s="43" t="str">
        <f t="shared" si="34"/>
        <v>Well-established  and effective market facilitation organizations</v>
      </c>
      <c r="BC39" s="43" t="s">
        <v>586</v>
      </c>
      <c r="BD39" s="244"/>
      <c r="BE39" s="39" t="str">
        <f t="shared" si="35"/>
        <v>Existence d'associations indépendantes pour les consommateurs et pour les fournisseurs.</v>
      </c>
      <c r="BF39" s="39" t="str">
        <f t="shared" si="35"/>
        <v>Existence d'associations indépendantes pour les consommateurs et pour les fournisseurs.</v>
      </c>
      <c r="BG39" s="39" t="str">
        <f t="shared" si="35"/>
        <v>Existence d'associations indépendantes pour les consommateurs et pour les fournisseurs.</v>
      </c>
      <c r="BH39" s="39" t="str">
        <f t="shared" si="35"/>
        <v>Existence d'associations indépendantes pour les consommateurs et pour les fournisseurs.</v>
      </c>
      <c r="BI39" s="39" t="str">
        <f t="shared" si="35"/>
        <v>Existence d'associations indépendantes pour les consommateurs et pour les fournisseurs.</v>
      </c>
      <c r="BJ39" s="39" t="str">
        <f t="shared" si="35"/>
        <v>Existence d'associations indépendantes pour les consommateurs et pour les fournisseurs.</v>
      </c>
      <c r="BK39" s="39" t="str">
        <f t="shared" si="35"/>
        <v>Existence d'associations indépendantes pour les consommateurs et pour les fournisseurs.</v>
      </c>
      <c r="BL39" s="39" t="str">
        <f t="shared" si="35"/>
        <v>Existence d'associations indépendantes pour les consommateurs et pour les fournisseurs.</v>
      </c>
      <c r="BM39" s="39" t="str">
        <f t="shared" si="35"/>
        <v>Existence d'associations indépendantes pour les consommateurs et pour les fournisseurs.</v>
      </c>
      <c r="BN39" s="48" t="s">
        <v>819</v>
      </c>
      <c r="BO39" s="40" t="str">
        <f t="shared" si="36"/>
        <v>Il n'existe pas d'organisations de facilitation du marché: pas de publiques, pas de privées et même pas de combinaisons de ces deux types d'organisations.</v>
      </c>
      <c r="BP39" s="40" t="str">
        <f t="shared" si="36"/>
        <v>Il n'existe pas d'organisations de facilitation du marché: pas de publiques, pas de privées et même pas de combinaisons de ces deux types d'organisations.</v>
      </c>
      <c r="BQ39" s="40" t="str">
        <f t="shared" si="36"/>
        <v>Il n'existe pas d'organisations de facilitation du marché: pas de publiques, pas de privées et même pas de combinaisons de ces deux types d'organisations.</v>
      </c>
      <c r="BR39" s="40" t="str">
        <f t="shared" si="36"/>
        <v>Il n'existe pas d'organisations de facilitation du marché: pas de publiques, pas de privées et même pas de combinaisons de ces deux types d'organisations.</v>
      </c>
      <c r="BS39" s="40" t="str">
        <f t="shared" si="36"/>
        <v>Il n'existe pas d'organisations de facilitation du marché: pas de publiques, pas de privées et même pas de combinaisons de ces deux types d'organisations.</v>
      </c>
      <c r="BT39" s="40" t="str">
        <f t="shared" si="36"/>
        <v>Il n'existe pas d'organisations de facilitation du marché: pas de publiques, pas de privées et même pas de combinaisons de ces deux types d'organisations.</v>
      </c>
      <c r="BU39" s="40" t="str">
        <f t="shared" si="36"/>
        <v>Il n'existe pas d'organisations de facilitation du marché: pas de publiques, pas de privées et même pas de combinaisons de ces deux types d'organisations.</v>
      </c>
      <c r="BV39" s="40" t="str">
        <f t="shared" si="36"/>
        <v>Il n'existe pas d'organisations de facilitation du marché: pas de publiques, pas de privées et même pas de combinaisons de ces deux types d'organisations.</v>
      </c>
      <c r="BW39" s="40" t="str">
        <f t="shared" si="36"/>
        <v>Il n'existe pas d'organisations de facilitation du marché: pas de publiques, pas de privées et même pas de combinaisons de ces deux types d'organisations.</v>
      </c>
      <c r="BX39" s="40" t="s">
        <v>890</v>
      </c>
      <c r="BY39" s="41" t="str">
        <f t="shared" si="37"/>
        <v>L'émergence d'une organisation de facilitation du marché financée par le secteur public est prévue et/ou en cours de création.</v>
      </c>
      <c r="BZ39" s="41" t="str">
        <f t="shared" si="37"/>
        <v>L'émergence d'une organisation de facilitation du marché financée par le secteur public est prévue et/ou en cours de création.</v>
      </c>
      <c r="CA39" s="41" t="str">
        <f t="shared" si="37"/>
        <v>L'émergence d'une organisation de facilitation du marché financée par le secteur public est prévue et/ou en cours de création.</v>
      </c>
      <c r="CB39" s="41" t="str">
        <f t="shared" si="37"/>
        <v>L'émergence d'une organisation de facilitation du marché financée par le secteur public est prévue et/ou en cours de création.</v>
      </c>
      <c r="CC39" s="41" t="str">
        <f t="shared" si="37"/>
        <v>L'émergence d'une organisation de facilitation du marché financée par le secteur public est prévue et/ou en cours de création.</v>
      </c>
      <c r="CD39" s="41" t="str">
        <f t="shared" si="37"/>
        <v>L'émergence d'une organisation de facilitation du marché financée par le secteur public est prévue et/ou en cours de création.</v>
      </c>
      <c r="CE39" s="41" t="str">
        <f t="shared" si="37"/>
        <v>L'émergence d'une organisation de facilitation du marché financée par le secteur public est prévue et/ou en cours de création.</v>
      </c>
      <c r="CF39" s="41" t="str">
        <f t="shared" si="37"/>
        <v>L'émergence d'une organisation de facilitation du marché financée par le secteur public est prévue et/ou en cours de création.</v>
      </c>
      <c r="CG39" s="41" t="str">
        <f t="shared" si="37"/>
        <v>L'émergence d'une organisation de facilitation du marché financée par le secteur public est prévue et/ou en cours de création.</v>
      </c>
      <c r="CH39" s="41" t="s">
        <v>933</v>
      </c>
      <c r="CI39" s="42" t="str">
        <f t="shared" si="38"/>
        <v>Émergence d'organisations publiques et/ou privées de facilitation du marché.</v>
      </c>
      <c r="CJ39" s="42" t="str">
        <f t="shared" si="38"/>
        <v>Émergence d'organisations publiques et/ou privées de facilitation du marché.</v>
      </c>
      <c r="CK39" s="42" t="str">
        <f t="shared" si="38"/>
        <v>Émergence d'organisations publiques et/ou privées de facilitation du marché.</v>
      </c>
      <c r="CL39" s="42" t="str">
        <f t="shared" si="38"/>
        <v>Émergence d'organisations publiques et/ou privées de facilitation du marché.</v>
      </c>
      <c r="CM39" s="42" t="str">
        <f t="shared" si="38"/>
        <v>Émergence d'organisations publiques et/ou privées de facilitation du marché.</v>
      </c>
      <c r="CN39" s="42" t="str">
        <f t="shared" si="38"/>
        <v>Émergence d'organisations publiques et/ou privées de facilitation du marché.</v>
      </c>
      <c r="CO39" s="42" t="str">
        <f t="shared" si="38"/>
        <v>Émergence d'organisations publiques et/ou privées de facilitation du marché.</v>
      </c>
      <c r="CP39" s="42" t="str">
        <f t="shared" si="38"/>
        <v>Émergence d'organisations publiques et/ou privées de facilitation du marché.</v>
      </c>
      <c r="CQ39" s="42" t="str">
        <f t="shared" si="38"/>
        <v>Émergence d'organisations publiques et/ou privées de facilitation du marché.</v>
      </c>
      <c r="CR39" s="42" t="s">
        <v>969</v>
      </c>
      <c r="CS39" s="43" t="str">
        <f t="shared" si="39"/>
        <v>Des organisations de facilitation du marché bien établies et efficaces.</v>
      </c>
      <c r="CT39" s="43" t="str">
        <f t="shared" si="39"/>
        <v>Des organisations de facilitation du marché bien établies et efficaces.</v>
      </c>
      <c r="CU39" s="43" t="str">
        <f t="shared" si="39"/>
        <v>Des organisations de facilitation du marché bien établies et efficaces.</v>
      </c>
      <c r="CV39" s="43" t="str">
        <f t="shared" si="39"/>
        <v>Des organisations de facilitation du marché bien établies et efficaces.</v>
      </c>
      <c r="CW39" s="43" t="str">
        <f t="shared" si="39"/>
        <v>Des organisations de facilitation du marché bien établies et efficaces.</v>
      </c>
      <c r="CX39" s="43" t="str">
        <f t="shared" si="39"/>
        <v>Des organisations de facilitation du marché bien établies et efficaces.</v>
      </c>
      <c r="CY39" s="43" t="str">
        <f t="shared" si="39"/>
        <v>Des organisations de facilitation du marché bien établies et efficaces.</v>
      </c>
      <c r="CZ39" s="43" t="str">
        <f t="shared" si="39"/>
        <v>Des organisations de facilitation du marché bien établies et efficaces.</v>
      </c>
      <c r="DA39" s="43" t="str">
        <f t="shared" si="39"/>
        <v>Des organisations de facilitation du marché bien établies et efficaces.</v>
      </c>
      <c r="DB39" s="43" t="s">
        <v>1011</v>
      </c>
      <c r="DC39" s="441"/>
    </row>
    <row r="40" spans="1:107" ht="80.099999999999994" customHeight="1" thickTop="1" thickBot="1" x14ac:dyDescent="0.25">
      <c r="A40" s="244"/>
      <c r="B40" s="643"/>
      <c r="C40" s="489"/>
      <c r="D40" s="49" t="s">
        <v>56</v>
      </c>
      <c r="E40" s="48" t="s">
        <v>185</v>
      </c>
      <c r="F40" s="39" t="str">
        <f t="shared" si="30"/>
        <v>Extent of awareness-raising and educational activities.</v>
      </c>
      <c r="G40" s="39" t="str">
        <f t="shared" si="30"/>
        <v>Extent of awareness-raising and educational activities.</v>
      </c>
      <c r="H40" s="39" t="str">
        <f t="shared" si="30"/>
        <v>Extent of awareness-raising and educational activities.</v>
      </c>
      <c r="I40" s="39" t="str">
        <f t="shared" si="30"/>
        <v>Extent of awareness-raising and educational activities.</v>
      </c>
      <c r="J40" s="39" t="str">
        <f t="shared" si="30"/>
        <v>Extent of awareness-raising and educational activities.</v>
      </c>
      <c r="K40" s="39" t="str">
        <f t="shared" si="30"/>
        <v>Extent of awareness-raising and educational activities.</v>
      </c>
      <c r="L40" s="39" t="str">
        <f t="shared" si="30"/>
        <v>Extent of awareness-raising and educational activities.</v>
      </c>
      <c r="M40" s="39" t="str">
        <f t="shared" si="30"/>
        <v>Extent of awareness-raising and educational activities.</v>
      </c>
      <c r="N40" s="39" t="str">
        <f t="shared" si="30"/>
        <v>Extent of awareness-raising and educational activities.</v>
      </c>
      <c r="O40" s="48" t="s">
        <v>1038</v>
      </c>
      <c r="P40" s="40" t="str">
        <f t="shared" si="31"/>
        <v>No awareness campaigns at government level. 
Donor-driven activities push to raise awareness</v>
      </c>
      <c r="Q40" s="40" t="str">
        <f t="shared" si="31"/>
        <v>No awareness campaigns at government level. 
Donor-driven activities push to raise awareness</v>
      </c>
      <c r="R40" s="40" t="str">
        <f t="shared" si="31"/>
        <v>No awareness campaigns at government level. 
Donor-driven activities push to raise awareness</v>
      </c>
      <c r="S40" s="40" t="str">
        <f t="shared" si="31"/>
        <v>No awareness campaigns at government level. 
Donor-driven activities push to raise awareness</v>
      </c>
      <c r="T40" s="40" t="str">
        <f t="shared" si="31"/>
        <v>No awareness campaigns at government level. 
Donor-driven activities push to raise awareness</v>
      </c>
      <c r="U40" s="40" t="str">
        <f t="shared" si="31"/>
        <v>No awareness campaigns at government level. 
Donor-driven activities push to raise awareness</v>
      </c>
      <c r="V40" s="40" t="str">
        <f t="shared" si="31"/>
        <v>No awareness campaigns at government level. 
Donor-driven activities push to raise awareness</v>
      </c>
      <c r="W40" s="40" t="str">
        <f t="shared" si="31"/>
        <v>No awareness campaigns at government level. 
Donor-driven activities push to raise awareness</v>
      </c>
      <c r="X40" s="40" t="str">
        <f t="shared" si="31"/>
        <v>No awareness campaigns at government level. 
Donor-driven activities push to raise awareness</v>
      </c>
      <c r="Y40" s="40" t="s">
        <v>587</v>
      </c>
      <c r="Z40" s="41" t="str">
        <f t="shared" si="32"/>
        <v>Big push of consumer awareness raising activities by donors with support of Governments</v>
      </c>
      <c r="AA40" s="41" t="str">
        <f t="shared" si="32"/>
        <v>Big push of consumer awareness raising activities by donors with support of Governments</v>
      </c>
      <c r="AB40" s="41" t="str">
        <f t="shared" si="32"/>
        <v>Big push of consumer awareness raising activities by donors with support of Governments</v>
      </c>
      <c r="AC40" s="41" t="str">
        <f t="shared" si="32"/>
        <v>Big push of consumer awareness raising activities by donors with support of Governments</v>
      </c>
      <c r="AD40" s="41" t="str">
        <f t="shared" si="32"/>
        <v>Big push of consumer awareness raising activities by donors with support of Governments</v>
      </c>
      <c r="AE40" s="41" t="str">
        <f t="shared" si="32"/>
        <v>Big push of consumer awareness raising activities by donors with support of Governments</v>
      </c>
      <c r="AF40" s="41" t="str">
        <f t="shared" si="32"/>
        <v>Big push of consumer awareness raising activities by donors with support of Governments</v>
      </c>
      <c r="AG40" s="41" t="str">
        <f t="shared" si="32"/>
        <v>Big push of consumer awareness raising activities by donors with support of Governments</v>
      </c>
      <c r="AH40" s="41" t="str">
        <f t="shared" si="32"/>
        <v>Big push of consumer awareness raising activities by donors with support of Governments</v>
      </c>
      <c r="AI40" s="41" t="s">
        <v>588</v>
      </c>
      <c r="AJ40" s="42" t="str">
        <f t="shared" si="33"/>
        <v>Governments support awareness raising activities for consumers in some cases supported by donors.</v>
      </c>
      <c r="AK40" s="42" t="str">
        <f t="shared" si="33"/>
        <v>Governments support awareness raising activities for consumers in some cases supported by donors.</v>
      </c>
      <c r="AL40" s="42" t="str">
        <f t="shared" si="33"/>
        <v>Governments support awareness raising activities for consumers in some cases supported by donors.</v>
      </c>
      <c r="AM40" s="42" t="str">
        <f t="shared" si="33"/>
        <v>Governments support awareness raising activities for consumers in some cases supported by donors.</v>
      </c>
      <c r="AN40" s="42" t="str">
        <f t="shared" si="33"/>
        <v>Governments support awareness raising activities for consumers in some cases supported by donors.</v>
      </c>
      <c r="AO40" s="42" t="str">
        <f t="shared" si="33"/>
        <v>Governments support awareness raising activities for consumers in some cases supported by donors.</v>
      </c>
      <c r="AP40" s="42" t="str">
        <f t="shared" si="33"/>
        <v>Governments support awareness raising activities for consumers in some cases supported by donors.</v>
      </c>
      <c r="AQ40" s="42" t="str">
        <f t="shared" si="33"/>
        <v>Governments support awareness raising activities for consumers in some cases supported by donors.</v>
      </c>
      <c r="AR40" s="42" t="str">
        <f t="shared" si="33"/>
        <v>Governments support awareness raising activities for consumers in some cases supported by donors.</v>
      </c>
      <c r="AS40" s="42" t="s">
        <v>710</v>
      </c>
      <c r="AT40" s="43" t="str">
        <f t="shared" si="34"/>
        <v>Retracting consumer awareness raising campaigns due to high consumer awareness.</v>
      </c>
      <c r="AU40" s="43" t="str">
        <f t="shared" si="34"/>
        <v>Retracting consumer awareness raising campaigns due to high consumer awareness.</v>
      </c>
      <c r="AV40" s="43" t="str">
        <f t="shared" si="34"/>
        <v>Retracting consumer awareness raising campaigns due to high consumer awareness.</v>
      </c>
      <c r="AW40" s="43" t="str">
        <f t="shared" si="34"/>
        <v>Retracting consumer awareness raising campaigns due to high consumer awareness.</v>
      </c>
      <c r="AX40" s="43" t="str">
        <f t="shared" si="34"/>
        <v>Retracting consumer awareness raising campaigns due to high consumer awareness.</v>
      </c>
      <c r="AY40" s="43" t="str">
        <f t="shared" si="34"/>
        <v>Retracting consumer awareness raising campaigns due to high consumer awareness.</v>
      </c>
      <c r="AZ40" s="43" t="str">
        <f t="shared" si="34"/>
        <v>Retracting consumer awareness raising campaigns due to high consumer awareness.</v>
      </c>
      <c r="BA40" s="43" t="str">
        <f t="shared" si="34"/>
        <v>Retracting consumer awareness raising campaigns due to high consumer awareness.</v>
      </c>
      <c r="BB40" s="43" t="str">
        <f t="shared" si="34"/>
        <v>Retracting consumer awareness raising campaigns due to high consumer awareness.</v>
      </c>
      <c r="BC40" s="43" t="s">
        <v>711</v>
      </c>
      <c r="BD40" s="244"/>
      <c r="BE40" s="39" t="str">
        <f t="shared" si="35"/>
        <v>Ampleur des activités de sensibilisation et d'éducation.</v>
      </c>
      <c r="BF40" s="39" t="str">
        <f t="shared" si="35"/>
        <v>Ampleur des activités de sensibilisation et d'éducation.</v>
      </c>
      <c r="BG40" s="39" t="str">
        <f t="shared" si="35"/>
        <v>Ampleur des activités de sensibilisation et d'éducation.</v>
      </c>
      <c r="BH40" s="39" t="str">
        <f t="shared" si="35"/>
        <v>Ampleur des activités de sensibilisation et d'éducation.</v>
      </c>
      <c r="BI40" s="39" t="str">
        <f t="shared" si="35"/>
        <v>Ampleur des activités de sensibilisation et d'éducation.</v>
      </c>
      <c r="BJ40" s="39" t="str">
        <f t="shared" si="35"/>
        <v>Ampleur des activités de sensibilisation et d'éducation.</v>
      </c>
      <c r="BK40" s="39" t="str">
        <f t="shared" si="35"/>
        <v>Ampleur des activités de sensibilisation et d'éducation.</v>
      </c>
      <c r="BL40" s="39" t="str">
        <f t="shared" si="35"/>
        <v>Ampleur des activités de sensibilisation et d'éducation.</v>
      </c>
      <c r="BM40" s="39" t="str">
        <f t="shared" si="35"/>
        <v>Ampleur des activités de sensibilisation et d'éducation.</v>
      </c>
      <c r="BN40" s="48" t="s">
        <v>820</v>
      </c>
      <c r="BO40" s="40" t="str">
        <f t="shared" si="36"/>
        <v>Pas de campagnes de sensibilisation au niveau gouvernemental.
Les activités menées par les bailleurs de fonds visent à sensibiliser le public.</v>
      </c>
      <c r="BP40" s="40" t="str">
        <f t="shared" si="36"/>
        <v>Pas de campagnes de sensibilisation au niveau gouvernemental.
Les activités menées par les bailleurs de fonds visent à sensibiliser le public.</v>
      </c>
      <c r="BQ40" s="40" t="str">
        <f t="shared" si="36"/>
        <v>Pas de campagnes de sensibilisation au niveau gouvernemental.
Les activités menées par les bailleurs de fonds visent à sensibiliser le public.</v>
      </c>
      <c r="BR40" s="40" t="str">
        <f t="shared" si="36"/>
        <v>Pas de campagnes de sensibilisation au niveau gouvernemental.
Les activités menées par les bailleurs de fonds visent à sensibiliser le public.</v>
      </c>
      <c r="BS40" s="40" t="str">
        <f t="shared" si="36"/>
        <v>Pas de campagnes de sensibilisation au niveau gouvernemental.
Les activités menées par les bailleurs de fonds visent à sensibiliser le public.</v>
      </c>
      <c r="BT40" s="40" t="str">
        <f t="shared" si="36"/>
        <v>Pas de campagnes de sensibilisation au niveau gouvernemental.
Les activités menées par les bailleurs de fonds visent à sensibiliser le public.</v>
      </c>
      <c r="BU40" s="40" t="str">
        <f t="shared" si="36"/>
        <v>Pas de campagnes de sensibilisation au niveau gouvernemental.
Les activités menées par les bailleurs de fonds visent à sensibiliser le public.</v>
      </c>
      <c r="BV40" s="40" t="str">
        <f t="shared" si="36"/>
        <v>Pas de campagnes de sensibilisation au niveau gouvernemental.
Les activités menées par les bailleurs de fonds visent à sensibiliser le public.</v>
      </c>
      <c r="BW40" s="40" t="str">
        <f t="shared" si="36"/>
        <v>Pas de campagnes de sensibilisation au niveau gouvernemental.
Les activités menées par les bailleurs de fonds visent à sensibiliser le public.</v>
      </c>
      <c r="BX40" s="40" t="s">
        <v>891</v>
      </c>
      <c r="BY40" s="41" t="str">
        <f t="shared" si="37"/>
        <v>Les bailleurs de fonds, avec le soutien des gouvernements, donnent une forte impulsion aux activités de sensibilisation des consommateurs.</v>
      </c>
      <c r="BZ40" s="41" t="str">
        <f t="shared" si="37"/>
        <v>Les bailleurs de fonds, avec le soutien des gouvernements, donnent une forte impulsion aux activités de sensibilisation des consommateurs.</v>
      </c>
      <c r="CA40" s="41" t="str">
        <f t="shared" si="37"/>
        <v>Les bailleurs de fonds, avec le soutien des gouvernements, donnent une forte impulsion aux activités de sensibilisation des consommateurs.</v>
      </c>
      <c r="CB40" s="41" t="str">
        <f t="shared" si="37"/>
        <v>Les bailleurs de fonds, avec le soutien des gouvernements, donnent une forte impulsion aux activités de sensibilisation des consommateurs.</v>
      </c>
      <c r="CC40" s="41" t="str">
        <f t="shared" si="37"/>
        <v>Les bailleurs de fonds, avec le soutien des gouvernements, donnent une forte impulsion aux activités de sensibilisation des consommateurs.</v>
      </c>
      <c r="CD40" s="41" t="str">
        <f t="shared" si="37"/>
        <v>Les bailleurs de fonds, avec le soutien des gouvernements, donnent une forte impulsion aux activités de sensibilisation des consommateurs.</v>
      </c>
      <c r="CE40" s="41" t="str">
        <f t="shared" si="37"/>
        <v>Les bailleurs de fonds, avec le soutien des gouvernements, donnent une forte impulsion aux activités de sensibilisation des consommateurs.</v>
      </c>
      <c r="CF40" s="41" t="str">
        <f t="shared" si="37"/>
        <v>Les bailleurs de fonds, avec le soutien des gouvernements, donnent une forte impulsion aux activités de sensibilisation des consommateurs.</v>
      </c>
      <c r="CG40" s="41" t="str">
        <f t="shared" si="37"/>
        <v>Les bailleurs de fonds, avec le soutien des gouvernements, donnent une forte impulsion aux activités de sensibilisation des consommateurs.</v>
      </c>
      <c r="CH40" s="41" t="s">
        <v>935</v>
      </c>
      <c r="CI40" s="42" t="str">
        <f t="shared" si="38"/>
        <v>Les gouvernements soutiennent les activités de sensibilisation des consommateurs, parfois avec l'aide de bailleurs.</v>
      </c>
      <c r="CJ40" s="42" t="str">
        <f t="shared" si="38"/>
        <v>Les gouvernements soutiennent les activités de sensibilisation des consommateurs, parfois avec l'aide de bailleurs.</v>
      </c>
      <c r="CK40" s="42" t="str">
        <f t="shared" si="38"/>
        <v>Les gouvernements soutiennent les activités de sensibilisation des consommateurs, parfois avec l'aide de bailleurs.</v>
      </c>
      <c r="CL40" s="42" t="str">
        <f t="shared" si="38"/>
        <v>Les gouvernements soutiennent les activités de sensibilisation des consommateurs, parfois avec l'aide de bailleurs.</v>
      </c>
      <c r="CM40" s="42" t="str">
        <f t="shared" si="38"/>
        <v>Les gouvernements soutiennent les activités de sensibilisation des consommateurs, parfois avec l'aide de bailleurs.</v>
      </c>
      <c r="CN40" s="42" t="str">
        <f t="shared" si="38"/>
        <v>Les gouvernements soutiennent les activités de sensibilisation des consommateurs, parfois avec l'aide de bailleurs.</v>
      </c>
      <c r="CO40" s="42" t="str">
        <f t="shared" si="38"/>
        <v>Les gouvernements soutiennent les activités de sensibilisation des consommateurs, parfois avec l'aide de bailleurs.</v>
      </c>
      <c r="CP40" s="42" t="str">
        <f t="shared" si="38"/>
        <v>Les gouvernements soutiennent les activités de sensibilisation des consommateurs, parfois avec l'aide de bailleurs.</v>
      </c>
      <c r="CQ40" s="42" t="str">
        <f t="shared" si="38"/>
        <v>Les gouvernements soutiennent les activités de sensibilisation des consommateurs, parfois avec l'aide de bailleurs.</v>
      </c>
      <c r="CR40" s="42" t="s">
        <v>970</v>
      </c>
      <c r="CS40" s="43" t="str">
        <f t="shared" si="39"/>
        <v>Retrait des campagnes de sensibilisation des consommateurs en raison du niveau elevé de comprehénsion déjà existant.</v>
      </c>
      <c r="CT40" s="43" t="str">
        <f t="shared" si="39"/>
        <v>Retrait des campagnes de sensibilisation des consommateurs en raison du niveau elevé de comprehénsion déjà existant.</v>
      </c>
      <c r="CU40" s="43" t="str">
        <f t="shared" si="39"/>
        <v>Retrait des campagnes de sensibilisation des consommateurs en raison du niveau elevé de comprehénsion déjà existant.</v>
      </c>
      <c r="CV40" s="43" t="str">
        <f t="shared" si="39"/>
        <v>Retrait des campagnes de sensibilisation des consommateurs en raison du niveau elevé de comprehénsion déjà existant.</v>
      </c>
      <c r="CW40" s="43" t="str">
        <f t="shared" si="39"/>
        <v>Retrait des campagnes de sensibilisation des consommateurs en raison du niveau elevé de comprehénsion déjà existant.</v>
      </c>
      <c r="CX40" s="43" t="str">
        <f t="shared" si="39"/>
        <v>Retrait des campagnes de sensibilisation des consommateurs en raison du niveau elevé de comprehénsion déjà existant.</v>
      </c>
      <c r="CY40" s="43" t="str">
        <f t="shared" si="39"/>
        <v>Retrait des campagnes de sensibilisation des consommateurs en raison du niveau elevé de comprehénsion déjà existant.</v>
      </c>
      <c r="CZ40" s="43" t="str">
        <f t="shared" si="39"/>
        <v>Retrait des campagnes de sensibilisation des consommateurs en raison du niveau elevé de comprehénsion déjà existant.</v>
      </c>
      <c r="DA40" s="43" t="str">
        <f t="shared" si="39"/>
        <v>Retrait des campagnes de sensibilisation des consommateurs en raison du niveau elevé de comprehénsion déjà existant.</v>
      </c>
      <c r="DB40" s="43" t="s">
        <v>1012</v>
      </c>
      <c r="DC40" s="441"/>
    </row>
    <row r="41" spans="1:107" ht="80.099999999999994" customHeight="1" thickTop="1" thickBot="1" x14ac:dyDescent="0.25">
      <c r="A41" s="244"/>
      <c r="B41" s="643"/>
      <c r="C41" s="489" t="s">
        <v>186</v>
      </c>
      <c r="D41" s="49" t="s">
        <v>57</v>
      </c>
      <c r="E41" s="48" t="s">
        <v>187</v>
      </c>
      <c r="F41" s="39" t="str">
        <f t="shared" si="30"/>
        <v>Availability of specialised courses and vocational training that respond to the demand for skilled technicians.</v>
      </c>
      <c r="G41" s="39" t="str">
        <f t="shared" si="30"/>
        <v>Availability of specialised courses and vocational training that respond to the demand for skilled technicians.</v>
      </c>
      <c r="H41" s="39" t="str">
        <f t="shared" si="30"/>
        <v>Availability of specialised courses and vocational training that respond to the demand for skilled technicians.</v>
      </c>
      <c r="I41" s="39" t="str">
        <f t="shared" si="30"/>
        <v>Availability of specialised courses and vocational training that respond to the demand for skilled technicians.</v>
      </c>
      <c r="J41" s="39" t="str">
        <f t="shared" si="30"/>
        <v>Availability of specialised courses and vocational training that respond to the demand for skilled technicians.</v>
      </c>
      <c r="K41" s="39" t="str">
        <f t="shared" si="30"/>
        <v>Availability of specialised courses and vocational training that respond to the demand for skilled technicians.</v>
      </c>
      <c r="L41" s="39" t="str">
        <f t="shared" si="30"/>
        <v>Availability of specialised courses and vocational training that respond to the demand for skilled technicians.</v>
      </c>
      <c r="M41" s="39" t="str">
        <f t="shared" si="30"/>
        <v>Availability of specialised courses and vocational training that respond to the demand for skilled technicians.</v>
      </c>
      <c r="N41" s="39" t="str">
        <f t="shared" si="30"/>
        <v>Availability of specialised courses and vocational training that respond to the demand for skilled technicians.</v>
      </c>
      <c r="O41" s="48" t="s">
        <v>1037</v>
      </c>
      <c r="P41" s="40" t="str">
        <f t="shared" si="31"/>
        <v>No specialised, technology-specific study courses/trainings</v>
      </c>
      <c r="Q41" s="40" t="str">
        <f t="shared" si="31"/>
        <v>No specialised, technology-specific study courses/trainings</v>
      </c>
      <c r="R41" s="40" t="str">
        <f t="shared" si="31"/>
        <v>No specialised, technology-specific study courses/trainings</v>
      </c>
      <c r="S41" s="40" t="str">
        <f t="shared" si="31"/>
        <v>No specialised, technology-specific study courses/trainings</v>
      </c>
      <c r="T41" s="40" t="str">
        <f t="shared" si="31"/>
        <v>No specialised, technology-specific study courses/trainings</v>
      </c>
      <c r="U41" s="40" t="str">
        <f t="shared" si="31"/>
        <v>No specialised, technology-specific study courses/trainings</v>
      </c>
      <c r="V41" s="40" t="str">
        <f t="shared" si="31"/>
        <v>No specialised, technology-specific study courses/trainings</v>
      </c>
      <c r="W41" s="40" t="str">
        <f t="shared" si="31"/>
        <v>No specialised, technology-specific study courses/trainings</v>
      </c>
      <c r="X41" s="40" t="str">
        <f t="shared" si="31"/>
        <v>No specialised, technology-specific study courses/trainings</v>
      </c>
      <c r="Y41" s="40" t="s">
        <v>589</v>
      </c>
      <c r="Z41" s="41" t="str">
        <f t="shared" si="32"/>
        <v>Trainings offered mainly by donors only.</v>
      </c>
      <c r="AA41" s="41" t="str">
        <f t="shared" si="32"/>
        <v>Trainings offered mainly by donors only.</v>
      </c>
      <c r="AB41" s="41" t="str">
        <f t="shared" si="32"/>
        <v>Trainings offered mainly by donors only.</v>
      </c>
      <c r="AC41" s="41" t="str">
        <f t="shared" si="32"/>
        <v>Trainings offered mainly by donors only.</v>
      </c>
      <c r="AD41" s="41" t="str">
        <f t="shared" si="32"/>
        <v>Trainings offered mainly by donors only.</v>
      </c>
      <c r="AE41" s="41" t="str">
        <f t="shared" si="32"/>
        <v>Trainings offered mainly by donors only.</v>
      </c>
      <c r="AF41" s="41" t="str">
        <f t="shared" si="32"/>
        <v>Trainings offered mainly by donors only.</v>
      </c>
      <c r="AG41" s="41" t="str">
        <f t="shared" si="32"/>
        <v>Trainings offered mainly by donors only.</v>
      </c>
      <c r="AH41" s="41" t="str">
        <f t="shared" si="32"/>
        <v>Trainings offered mainly by donors only.</v>
      </c>
      <c r="AI41" s="41" t="s">
        <v>590</v>
      </c>
      <c r="AJ41" s="42" t="str">
        <f t="shared" si="33"/>
        <v>Specialised study courses start to emerge. Demand for skilled labour force increases (usually with a lag).</v>
      </c>
      <c r="AK41" s="42" t="str">
        <f t="shared" si="33"/>
        <v>Specialised study courses start to emerge. Demand for skilled labour force increases (usually with a lag).</v>
      </c>
      <c r="AL41" s="42" t="str">
        <f t="shared" si="33"/>
        <v>Specialised study courses start to emerge. Demand for skilled labour force increases (usually with a lag).</v>
      </c>
      <c r="AM41" s="42" t="str">
        <f t="shared" si="33"/>
        <v>Specialised study courses start to emerge. Demand for skilled labour force increases (usually with a lag).</v>
      </c>
      <c r="AN41" s="42" t="str">
        <f t="shared" si="33"/>
        <v>Specialised study courses start to emerge. Demand for skilled labour force increases (usually with a lag).</v>
      </c>
      <c r="AO41" s="42" t="str">
        <f t="shared" si="33"/>
        <v>Specialised study courses start to emerge. Demand for skilled labour force increases (usually with a lag).</v>
      </c>
      <c r="AP41" s="42" t="str">
        <f t="shared" si="33"/>
        <v>Specialised study courses start to emerge. Demand for skilled labour force increases (usually with a lag).</v>
      </c>
      <c r="AQ41" s="42" t="str">
        <f t="shared" si="33"/>
        <v>Specialised study courses start to emerge. Demand for skilled labour force increases (usually with a lag).</v>
      </c>
      <c r="AR41" s="42" t="str">
        <f t="shared" si="33"/>
        <v>Specialised study courses start to emerge. Demand for skilled labour force increases (usually with a lag).</v>
      </c>
      <c r="AS41" s="42" t="s">
        <v>591</v>
      </c>
      <c r="AT41" s="43" t="str">
        <f t="shared" si="34"/>
        <v>Availability of a variety of specialised study courses/trainings for energy access professionals and technicians</v>
      </c>
      <c r="AU41" s="43" t="str">
        <f t="shared" si="34"/>
        <v>Availability of a variety of specialised study courses/trainings for energy access professionals and technicians</v>
      </c>
      <c r="AV41" s="43" t="str">
        <f t="shared" si="34"/>
        <v>Availability of a variety of specialised study courses/trainings for energy access professionals and technicians</v>
      </c>
      <c r="AW41" s="43" t="str">
        <f t="shared" si="34"/>
        <v>Availability of a variety of specialised study courses/trainings for energy access professionals and technicians</v>
      </c>
      <c r="AX41" s="43" t="str">
        <f t="shared" si="34"/>
        <v>Availability of a variety of specialised study courses/trainings for energy access professionals and technicians</v>
      </c>
      <c r="AY41" s="43" t="str">
        <f t="shared" si="34"/>
        <v>Availability of a variety of specialised study courses/trainings for energy access professionals and technicians</v>
      </c>
      <c r="AZ41" s="43" t="str">
        <f t="shared" si="34"/>
        <v>Availability of a variety of specialised study courses/trainings for energy access professionals and technicians</v>
      </c>
      <c r="BA41" s="43" t="str">
        <f t="shared" si="34"/>
        <v>Availability of a variety of specialised study courses/trainings for energy access professionals and technicians</v>
      </c>
      <c r="BB41" s="43" t="str">
        <f t="shared" si="34"/>
        <v>Availability of a variety of specialised study courses/trainings for energy access professionals and technicians</v>
      </c>
      <c r="BC41" s="43" t="s">
        <v>592</v>
      </c>
      <c r="BD41" s="244"/>
      <c r="BE41" s="39" t="str">
        <f t="shared" si="35"/>
        <v>Disponibilité de cours spécialisés et de formations professionnelles répondant à la demande de techniciens qualifiés.</v>
      </c>
      <c r="BF41" s="39" t="str">
        <f t="shared" si="35"/>
        <v>Disponibilité de cours spécialisés et de formations professionnelles répondant à la demande de techniciens qualifiés.</v>
      </c>
      <c r="BG41" s="39" t="str">
        <f t="shared" si="35"/>
        <v>Disponibilité de cours spécialisés et de formations professionnelles répondant à la demande de techniciens qualifiés.</v>
      </c>
      <c r="BH41" s="39" t="str">
        <f t="shared" si="35"/>
        <v>Disponibilité de cours spécialisés et de formations professionnelles répondant à la demande de techniciens qualifiés.</v>
      </c>
      <c r="BI41" s="39" t="str">
        <f t="shared" si="35"/>
        <v>Disponibilité de cours spécialisés et de formations professionnelles répondant à la demande de techniciens qualifiés.</v>
      </c>
      <c r="BJ41" s="39" t="str">
        <f t="shared" si="35"/>
        <v>Disponibilité de cours spécialisés et de formations professionnelles répondant à la demande de techniciens qualifiés.</v>
      </c>
      <c r="BK41" s="39" t="str">
        <f t="shared" si="35"/>
        <v>Disponibilité de cours spécialisés et de formations professionnelles répondant à la demande de techniciens qualifiés.</v>
      </c>
      <c r="BL41" s="39" t="str">
        <f t="shared" si="35"/>
        <v>Disponibilité de cours spécialisés et de formations professionnelles répondant à la demande de techniciens qualifiés.</v>
      </c>
      <c r="BM41" s="39" t="str">
        <f t="shared" si="35"/>
        <v>Disponibilité de cours spécialisés et de formations professionnelles répondant à la demande de techniciens qualifiés.</v>
      </c>
      <c r="BN41" s="48" t="s">
        <v>821</v>
      </c>
      <c r="BO41" s="40" t="str">
        <f t="shared" si="36"/>
        <v>Pas de cours/formations spécialisés et spécifiques à la technologie.</v>
      </c>
      <c r="BP41" s="40" t="str">
        <f t="shared" si="36"/>
        <v>Pas de cours/formations spécialisés et spécifiques à la technologie.</v>
      </c>
      <c r="BQ41" s="40" t="str">
        <f t="shared" si="36"/>
        <v>Pas de cours/formations spécialisés et spécifiques à la technologie.</v>
      </c>
      <c r="BR41" s="40" t="str">
        <f t="shared" si="36"/>
        <v>Pas de cours/formations spécialisés et spécifiques à la technologie.</v>
      </c>
      <c r="BS41" s="40" t="str">
        <f t="shared" si="36"/>
        <v>Pas de cours/formations spécialisés et spécifiques à la technologie.</v>
      </c>
      <c r="BT41" s="40" t="str">
        <f t="shared" si="36"/>
        <v>Pas de cours/formations spécialisés et spécifiques à la technologie.</v>
      </c>
      <c r="BU41" s="40" t="str">
        <f t="shared" si="36"/>
        <v>Pas de cours/formations spécialisés et spécifiques à la technologie.</v>
      </c>
      <c r="BV41" s="40" t="str">
        <f t="shared" si="36"/>
        <v>Pas de cours/formations spécialisés et spécifiques à la technologie.</v>
      </c>
      <c r="BW41" s="40" t="str">
        <f t="shared" si="36"/>
        <v>Pas de cours/formations spécialisés et spécifiques à la technologie.</v>
      </c>
      <c r="BX41" s="40" t="s">
        <v>892</v>
      </c>
      <c r="BY41" s="41" t="str">
        <f t="shared" si="37"/>
        <v>Les formations sont essentiellement proposées par les bailleurs de fonds.</v>
      </c>
      <c r="BZ41" s="41" t="str">
        <f t="shared" si="37"/>
        <v>Les formations sont essentiellement proposées par les bailleurs de fonds.</v>
      </c>
      <c r="CA41" s="41" t="str">
        <f t="shared" si="37"/>
        <v>Les formations sont essentiellement proposées par les bailleurs de fonds.</v>
      </c>
      <c r="CB41" s="41" t="str">
        <f t="shared" si="37"/>
        <v>Les formations sont essentiellement proposées par les bailleurs de fonds.</v>
      </c>
      <c r="CC41" s="41" t="str">
        <f t="shared" si="37"/>
        <v>Les formations sont essentiellement proposées par les bailleurs de fonds.</v>
      </c>
      <c r="CD41" s="41" t="str">
        <f t="shared" si="37"/>
        <v>Les formations sont essentiellement proposées par les bailleurs de fonds.</v>
      </c>
      <c r="CE41" s="41" t="str">
        <f t="shared" si="37"/>
        <v>Les formations sont essentiellement proposées par les bailleurs de fonds.</v>
      </c>
      <c r="CF41" s="41" t="str">
        <f t="shared" si="37"/>
        <v>Les formations sont essentiellement proposées par les bailleurs de fonds.</v>
      </c>
      <c r="CG41" s="41" t="str">
        <f t="shared" si="37"/>
        <v>Les formations sont essentiellement proposées par les bailleurs de fonds.</v>
      </c>
      <c r="CH41" s="41" t="s">
        <v>936</v>
      </c>
      <c r="CI41" s="42" t="str">
        <f t="shared" si="38"/>
        <v>Des cours spécialisés commencent à voir le jour. La demande de main-d'œuvre qualifiée augmente (généralement avec un certain retard).</v>
      </c>
      <c r="CJ41" s="42" t="str">
        <f t="shared" si="38"/>
        <v>Des cours spécialisés commencent à voir le jour. La demande de main-d'œuvre qualifiée augmente (généralement avec un certain retard).</v>
      </c>
      <c r="CK41" s="42" t="str">
        <f t="shared" si="38"/>
        <v>Des cours spécialisés commencent à voir le jour. La demande de main-d'œuvre qualifiée augmente (généralement avec un certain retard).</v>
      </c>
      <c r="CL41" s="42" t="str">
        <f t="shared" si="38"/>
        <v>Des cours spécialisés commencent à voir le jour. La demande de main-d'œuvre qualifiée augmente (généralement avec un certain retard).</v>
      </c>
      <c r="CM41" s="42" t="str">
        <f t="shared" si="38"/>
        <v>Des cours spécialisés commencent à voir le jour. La demande de main-d'œuvre qualifiée augmente (généralement avec un certain retard).</v>
      </c>
      <c r="CN41" s="42" t="str">
        <f t="shared" si="38"/>
        <v>Des cours spécialisés commencent à voir le jour. La demande de main-d'œuvre qualifiée augmente (généralement avec un certain retard).</v>
      </c>
      <c r="CO41" s="42" t="str">
        <f t="shared" si="38"/>
        <v>Des cours spécialisés commencent à voir le jour. La demande de main-d'œuvre qualifiée augmente (généralement avec un certain retard).</v>
      </c>
      <c r="CP41" s="42" t="str">
        <f t="shared" si="38"/>
        <v>Des cours spécialisés commencent à voir le jour. La demande de main-d'œuvre qualifiée augmente (généralement avec un certain retard).</v>
      </c>
      <c r="CQ41" s="42" t="str">
        <f t="shared" si="38"/>
        <v>Des cours spécialisés commencent à voir le jour. La demande de main-d'œuvre qualifiée augmente (généralement avec un certain retard).</v>
      </c>
      <c r="CR41" s="42" t="s">
        <v>971</v>
      </c>
      <c r="CS41" s="43" t="str">
        <f t="shared" si="39"/>
        <v>Disponibilité d'une variété de cours/formations spécialisés pour les professionnels et les techniciens de l'accès à l'énergie</v>
      </c>
      <c r="CT41" s="43" t="str">
        <f t="shared" si="39"/>
        <v>Disponibilité d'une variété de cours/formations spécialisés pour les professionnels et les techniciens de l'accès à l'énergie</v>
      </c>
      <c r="CU41" s="43" t="str">
        <f t="shared" si="39"/>
        <v>Disponibilité d'une variété de cours/formations spécialisés pour les professionnels et les techniciens de l'accès à l'énergie</v>
      </c>
      <c r="CV41" s="43" t="str">
        <f t="shared" si="39"/>
        <v>Disponibilité d'une variété de cours/formations spécialisés pour les professionnels et les techniciens de l'accès à l'énergie</v>
      </c>
      <c r="CW41" s="43" t="str">
        <f t="shared" si="39"/>
        <v>Disponibilité d'une variété de cours/formations spécialisés pour les professionnels et les techniciens de l'accès à l'énergie</v>
      </c>
      <c r="CX41" s="43" t="str">
        <f t="shared" si="39"/>
        <v>Disponibilité d'une variété de cours/formations spécialisés pour les professionnels et les techniciens de l'accès à l'énergie</v>
      </c>
      <c r="CY41" s="43" t="str">
        <f t="shared" si="39"/>
        <v>Disponibilité d'une variété de cours/formations spécialisés pour les professionnels et les techniciens de l'accès à l'énergie</v>
      </c>
      <c r="CZ41" s="43" t="str">
        <f t="shared" si="39"/>
        <v>Disponibilité d'une variété de cours/formations spécialisés pour les professionnels et les techniciens de l'accès à l'énergie</v>
      </c>
      <c r="DA41" s="43" t="str">
        <f t="shared" si="39"/>
        <v>Disponibilité d'une variété de cours/formations spécialisés pour les professionnels et les techniciens de l'accès à l'énergie</v>
      </c>
      <c r="DB41" s="43" t="s">
        <v>998</v>
      </c>
      <c r="DC41" s="441"/>
    </row>
    <row r="42" spans="1:107" ht="80.099999999999994" customHeight="1" thickTop="1" thickBot="1" x14ac:dyDescent="0.25">
      <c r="A42" s="244"/>
      <c r="B42" s="643"/>
      <c r="C42" s="489"/>
      <c r="D42" s="49" t="s">
        <v>58</v>
      </c>
      <c r="E42" s="39" t="s">
        <v>188</v>
      </c>
      <c r="F42" s="39" t="str">
        <f t="shared" si="30"/>
        <v>Availability of courses  that responds to the demand for specialised business professionals.</v>
      </c>
      <c r="G42" s="39" t="str">
        <f t="shared" si="30"/>
        <v>Availability of courses  that responds to the demand for specialised business professionals.</v>
      </c>
      <c r="H42" s="39" t="str">
        <f t="shared" si="30"/>
        <v>Availability of courses  that responds to the demand for specialised business professionals.</v>
      </c>
      <c r="I42" s="39" t="str">
        <f t="shared" si="30"/>
        <v>Availability of courses  that responds to the demand for specialised business professionals.</v>
      </c>
      <c r="J42" s="39" t="str">
        <f t="shared" si="30"/>
        <v>Availability of courses  that responds to the demand for specialised business professionals.</v>
      </c>
      <c r="K42" s="39" t="str">
        <f t="shared" si="30"/>
        <v>Availability of courses  that responds to the demand for specialised business professionals.</v>
      </c>
      <c r="L42" s="39" t="str">
        <f t="shared" si="30"/>
        <v>Availability of courses  that responds to the demand for specialised business professionals.</v>
      </c>
      <c r="M42" s="39" t="str">
        <f t="shared" si="30"/>
        <v>Availability of courses  that responds to the demand for specialised business professionals.</v>
      </c>
      <c r="N42" s="39" t="str">
        <f t="shared" si="30"/>
        <v>Availability of courses  that responds to the demand for specialised business professionals.</v>
      </c>
      <c r="O42" s="39" t="s">
        <v>742</v>
      </c>
      <c r="P42" s="40" t="str">
        <f t="shared" si="31"/>
        <v>No Business Development Training courses</v>
      </c>
      <c r="Q42" s="40" t="str">
        <f t="shared" si="31"/>
        <v>No Business Development Training courses</v>
      </c>
      <c r="R42" s="40" t="str">
        <f t="shared" si="31"/>
        <v>No Business Development Training courses</v>
      </c>
      <c r="S42" s="40" t="str">
        <f t="shared" si="31"/>
        <v>No Business Development Training courses</v>
      </c>
      <c r="T42" s="40" t="str">
        <f t="shared" si="31"/>
        <v>No Business Development Training courses</v>
      </c>
      <c r="U42" s="40" t="str">
        <f t="shared" si="31"/>
        <v>No Business Development Training courses</v>
      </c>
      <c r="V42" s="40" t="str">
        <f t="shared" si="31"/>
        <v>No Business Development Training courses</v>
      </c>
      <c r="W42" s="40" t="str">
        <f t="shared" si="31"/>
        <v>No Business Development Training courses</v>
      </c>
      <c r="X42" s="40" t="str">
        <f t="shared" si="31"/>
        <v>No Business Development Training courses</v>
      </c>
      <c r="Y42" s="40" t="s">
        <v>593</v>
      </c>
      <c r="Z42" s="41" t="str">
        <f t="shared" si="32"/>
        <v>The training offered by donors includes some business skills.</v>
      </c>
      <c r="AA42" s="41" t="str">
        <f t="shared" si="32"/>
        <v>The training offered by donors includes some business skills.</v>
      </c>
      <c r="AB42" s="41" t="str">
        <f t="shared" si="32"/>
        <v>The training offered by donors includes some business skills.</v>
      </c>
      <c r="AC42" s="41" t="str">
        <f t="shared" si="32"/>
        <v>The training offered by donors includes some business skills.</v>
      </c>
      <c r="AD42" s="41" t="str">
        <f t="shared" si="32"/>
        <v>The training offered by donors includes some business skills.</v>
      </c>
      <c r="AE42" s="41" t="str">
        <f t="shared" si="32"/>
        <v>The training offered by donors includes some business skills.</v>
      </c>
      <c r="AF42" s="41" t="str">
        <f t="shared" si="32"/>
        <v>The training offered by donors includes some business skills.</v>
      </c>
      <c r="AG42" s="41" t="str">
        <f t="shared" si="32"/>
        <v>The training offered by donors includes some business skills.</v>
      </c>
      <c r="AH42" s="41" t="str">
        <f t="shared" si="32"/>
        <v>The training offered by donors includes some business skills.</v>
      </c>
      <c r="AI42" s="41" t="s">
        <v>594</v>
      </c>
      <c r="AJ42" s="42" t="str">
        <f t="shared" si="33"/>
        <v>Labour force trained by donors seeks business courses outside of project.</v>
      </c>
      <c r="AK42" s="42" t="str">
        <f t="shared" si="33"/>
        <v>Labour force trained by donors seeks business courses outside of project.</v>
      </c>
      <c r="AL42" s="42" t="str">
        <f t="shared" si="33"/>
        <v>Labour force trained by donors seeks business courses outside of project.</v>
      </c>
      <c r="AM42" s="42" t="str">
        <f t="shared" si="33"/>
        <v>Labour force trained by donors seeks business courses outside of project.</v>
      </c>
      <c r="AN42" s="42" t="str">
        <f t="shared" si="33"/>
        <v>Labour force trained by donors seeks business courses outside of project.</v>
      </c>
      <c r="AO42" s="42" t="str">
        <f t="shared" si="33"/>
        <v>Labour force trained by donors seeks business courses outside of project.</v>
      </c>
      <c r="AP42" s="42" t="str">
        <f t="shared" si="33"/>
        <v>Labour force trained by donors seeks business courses outside of project.</v>
      </c>
      <c r="AQ42" s="42" t="str">
        <f t="shared" si="33"/>
        <v>Labour force trained by donors seeks business courses outside of project.</v>
      </c>
      <c r="AR42" s="42" t="str">
        <f t="shared" si="33"/>
        <v>Labour force trained by donors seeks business courses outside of project.</v>
      </c>
      <c r="AS42" s="42" t="s">
        <v>595</v>
      </c>
      <c r="AT42" s="43" t="str">
        <f t="shared" si="34"/>
        <v>BDT is included in specialised training for RE professionals.</v>
      </c>
      <c r="AU42" s="43" t="str">
        <f t="shared" si="34"/>
        <v>BDT is included in specialised training for RE professionals.</v>
      </c>
      <c r="AV42" s="43" t="str">
        <f t="shared" si="34"/>
        <v>BDT is included in specialised training for RE professionals.</v>
      </c>
      <c r="AW42" s="43" t="str">
        <f t="shared" si="34"/>
        <v>BDT is included in specialised training for RE professionals.</v>
      </c>
      <c r="AX42" s="43" t="str">
        <f t="shared" si="34"/>
        <v>BDT is included in specialised training for RE professionals.</v>
      </c>
      <c r="AY42" s="43" t="str">
        <f t="shared" si="34"/>
        <v>BDT is included in specialised training for RE professionals.</v>
      </c>
      <c r="AZ42" s="43" t="str">
        <f t="shared" si="34"/>
        <v>BDT is included in specialised training for RE professionals.</v>
      </c>
      <c r="BA42" s="43" t="str">
        <f t="shared" si="34"/>
        <v>BDT is included in specialised training for RE professionals.</v>
      </c>
      <c r="BB42" s="43" t="str">
        <f t="shared" si="34"/>
        <v>BDT is included in specialised training for RE professionals.</v>
      </c>
      <c r="BC42" s="43" t="s">
        <v>596</v>
      </c>
      <c r="BD42" s="244"/>
      <c r="BE42" s="39" t="str">
        <f t="shared" si="35"/>
        <v>Disponibilité de cours répondant à la demande de professionnels spécialisés dans le domaine des affaires.</v>
      </c>
      <c r="BF42" s="39" t="str">
        <f t="shared" si="35"/>
        <v>Disponibilité de cours répondant à la demande de professionnels spécialisés dans le domaine des affaires.</v>
      </c>
      <c r="BG42" s="39" t="str">
        <f t="shared" si="35"/>
        <v>Disponibilité de cours répondant à la demande de professionnels spécialisés dans le domaine des affaires.</v>
      </c>
      <c r="BH42" s="39" t="str">
        <f t="shared" si="35"/>
        <v>Disponibilité de cours répondant à la demande de professionnels spécialisés dans le domaine des affaires.</v>
      </c>
      <c r="BI42" s="39" t="str">
        <f t="shared" si="35"/>
        <v>Disponibilité de cours répondant à la demande de professionnels spécialisés dans le domaine des affaires.</v>
      </c>
      <c r="BJ42" s="39" t="str">
        <f t="shared" si="35"/>
        <v>Disponibilité de cours répondant à la demande de professionnels spécialisés dans le domaine des affaires.</v>
      </c>
      <c r="BK42" s="39" t="str">
        <f t="shared" si="35"/>
        <v>Disponibilité de cours répondant à la demande de professionnels spécialisés dans le domaine des affaires.</v>
      </c>
      <c r="BL42" s="39" t="str">
        <f t="shared" si="35"/>
        <v>Disponibilité de cours répondant à la demande de professionnels spécialisés dans le domaine des affaires.</v>
      </c>
      <c r="BM42" s="39" t="str">
        <f t="shared" si="35"/>
        <v>Disponibilité de cours répondant à la demande de professionnels spécialisés dans le domaine des affaires.</v>
      </c>
      <c r="BN42" s="39" t="s">
        <v>822</v>
      </c>
      <c r="BO42" s="40" t="str">
        <f t="shared" si="36"/>
        <v>Pas de cours de formation au développement des entreprises.</v>
      </c>
      <c r="BP42" s="40" t="str">
        <f t="shared" si="36"/>
        <v>Pas de cours de formation au développement des entreprises.</v>
      </c>
      <c r="BQ42" s="40" t="str">
        <f t="shared" si="36"/>
        <v>Pas de cours de formation au développement des entreprises.</v>
      </c>
      <c r="BR42" s="40" t="str">
        <f t="shared" si="36"/>
        <v>Pas de cours de formation au développement des entreprises.</v>
      </c>
      <c r="BS42" s="40" t="str">
        <f t="shared" si="36"/>
        <v>Pas de cours de formation au développement des entreprises.</v>
      </c>
      <c r="BT42" s="40" t="str">
        <f t="shared" si="36"/>
        <v>Pas de cours de formation au développement des entreprises.</v>
      </c>
      <c r="BU42" s="40" t="str">
        <f t="shared" si="36"/>
        <v>Pas de cours de formation au développement des entreprises.</v>
      </c>
      <c r="BV42" s="40" t="str">
        <f t="shared" si="36"/>
        <v>Pas de cours de formation au développement des entreprises.</v>
      </c>
      <c r="BW42" s="40" t="str">
        <f t="shared" si="36"/>
        <v>Pas de cours de formation au développement des entreprises.</v>
      </c>
      <c r="BX42" s="40" t="s">
        <v>893</v>
      </c>
      <c r="BY42" s="41" t="str">
        <f t="shared" si="37"/>
        <v>Les formations proposées par les donateurs incluent certaines compétences commerciales.</v>
      </c>
      <c r="BZ42" s="41" t="str">
        <f t="shared" si="37"/>
        <v>Les formations proposées par les donateurs incluent certaines compétences commerciales.</v>
      </c>
      <c r="CA42" s="41" t="str">
        <f t="shared" si="37"/>
        <v>Les formations proposées par les donateurs incluent certaines compétences commerciales.</v>
      </c>
      <c r="CB42" s="41" t="str">
        <f t="shared" si="37"/>
        <v>Les formations proposées par les donateurs incluent certaines compétences commerciales.</v>
      </c>
      <c r="CC42" s="41" t="str">
        <f t="shared" si="37"/>
        <v>Les formations proposées par les donateurs incluent certaines compétences commerciales.</v>
      </c>
      <c r="CD42" s="41" t="str">
        <f t="shared" si="37"/>
        <v>Les formations proposées par les donateurs incluent certaines compétences commerciales.</v>
      </c>
      <c r="CE42" s="41" t="str">
        <f t="shared" si="37"/>
        <v>Les formations proposées par les donateurs incluent certaines compétences commerciales.</v>
      </c>
      <c r="CF42" s="41" t="str">
        <f t="shared" si="37"/>
        <v>Les formations proposées par les donateurs incluent certaines compétences commerciales.</v>
      </c>
      <c r="CG42" s="41" t="str">
        <f t="shared" si="37"/>
        <v>Les formations proposées par les donateurs incluent certaines compétences commerciales.</v>
      </c>
      <c r="CH42" s="41" t="s">
        <v>937</v>
      </c>
      <c r="CI42" s="42" t="str">
        <f t="shared" si="38"/>
        <v>La main-d'œuvre formée par les bailleurs cherche à suivre des cours de commerce en dehors du projet.</v>
      </c>
      <c r="CJ42" s="42" t="str">
        <f t="shared" si="38"/>
        <v>La main-d'œuvre formée par les bailleurs cherche à suivre des cours de commerce en dehors du projet.</v>
      </c>
      <c r="CK42" s="42" t="str">
        <f t="shared" si="38"/>
        <v>La main-d'œuvre formée par les bailleurs cherche à suivre des cours de commerce en dehors du projet.</v>
      </c>
      <c r="CL42" s="42" t="str">
        <f t="shared" si="38"/>
        <v>La main-d'œuvre formée par les bailleurs cherche à suivre des cours de commerce en dehors du projet.</v>
      </c>
      <c r="CM42" s="42" t="str">
        <f t="shared" si="38"/>
        <v>La main-d'œuvre formée par les bailleurs cherche à suivre des cours de commerce en dehors du projet.</v>
      </c>
      <c r="CN42" s="42" t="str">
        <f t="shared" si="38"/>
        <v>La main-d'œuvre formée par les bailleurs cherche à suivre des cours de commerce en dehors du projet.</v>
      </c>
      <c r="CO42" s="42" t="str">
        <f t="shared" si="38"/>
        <v>La main-d'œuvre formée par les bailleurs cherche à suivre des cours de commerce en dehors du projet.</v>
      </c>
      <c r="CP42" s="42" t="str">
        <f t="shared" si="38"/>
        <v>La main-d'œuvre formée par les bailleurs cherche à suivre des cours de commerce en dehors du projet.</v>
      </c>
      <c r="CQ42" s="42" t="str">
        <f t="shared" si="38"/>
        <v>La main-d'œuvre formée par les bailleurs cherche à suivre des cours de commerce en dehors du projet.</v>
      </c>
      <c r="CR42" s="42" t="s">
        <v>972</v>
      </c>
      <c r="CS42" s="43" t="str">
        <f t="shared" si="39"/>
        <v>La formation commerciale est incluse dans la formation spécialisée des professionnels de l'énergie.</v>
      </c>
      <c r="CT42" s="43" t="str">
        <f t="shared" si="39"/>
        <v>La formation commerciale est incluse dans la formation spécialisée des professionnels de l'énergie.</v>
      </c>
      <c r="CU42" s="43" t="str">
        <f t="shared" si="39"/>
        <v>La formation commerciale est incluse dans la formation spécialisée des professionnels de l'énergie.</v>
      </c>
      <c r="CV42" s="43" t="str">
        <f t="shared" si="39"/>
        <v>La formation commerciale est incluse dans la formation spécialisée des professionnels de l'énergie.</v>
      </c>
      <c r="CW42" s="43" t="str">
        <f t="shared" si="39"/>
        <v>La formation commerciale est incluse dans la formation spécialisée des professionnels de l'énergie.</v>
      </c>
      <c r="CX42" s="43" t="str">
        <f t="shared" si="39"/>
        <v>La formation commerciale est incluse dans la formation spécialisée des professionnels de l'énergie.</v>
      </c>
      <c r="CY42" s="43" t="str">
        <f t="shared" si="39"/>
        <v>La formation commerciale est incluse dans la formation spécialisée des professionnels de l'énergie.</v>
      </c>
      <c r="CZ42" s="43" t="str">
        <f t="shared" si="39"/>
        <v>La formation commerciale est incluse dans la formation spécialisée des professionnels de l'énergie.</v>
      </c>
      <c r="DA42" s="43" t="str">
        <f t="shared" si="39"/>
        <v>La formation commerciale est incluse dans la formation spécialisée des professionnels de l'énergie.</v>
      </c>
      <c r="DB42" s="43" t="s">
        <v>1013</v>
      </c>
      <c r="DC42" s="441"/>
    </row>
    <row r="43" spans="1:107" ht="80.099999999999994" customHeight="1" thickTop="1" thickBot="1" x14ac:dyDescent="0.25">
      <c r="A43" s="244"/>
      <c r="B43" s="643"/>
      <c r="C43" s="489"/>
      <c r="D43" s="49" t="s">
        <v>59</v>
      </c>
      <c r="E43" s="39" t="s">
        <v>189</v>
      </c>
      <c r="F43" s="39" t="str">
        <f t="shared" si="30"/>
        <v>Availability of courses for the empowerment of end-users.</v>
      </c>
      <c r="G43" s="39" t="str">
        <f t="shared" si="30"/>
        <v>Availability of courses for the empowerment of end-users.</v>
      </c>
      <c r="H43" s="39" t="str">
        <f t="shared" si="30"/>
        <v>Availability of courses for the empowerment of end-users.</v>
      </c>
      <c r="I43" s="39" t="str">
        <f t="shared" si="30"/>
        <v>Availability of courses for the empowerment of end-users.</v>
      </c>
      <c r="J43" s="39" t="str">
        <f t="shared" si="30"/>
        <v>Availability of courses for the empowerment of end-users.</v>
      </c>
      <c r="K43" s="39" t="str">
        <f t="shared" si="30"/>
        <v>Availability of courses for the empowerment of end-users.</v>
      </c>
      <c r="L43" s="39" t="str">
        <f t="shared" si="30"/>
        <v>Availability of courses for the empowerment of end-users.</v>
      </c>
      <c r="M43" s="39" t="str">
        <f t="shared" si="30"/>
        <v>Availability of courses for the empowerment of end-users.</v>
      </c>
      <c r="N43" s="39" t="str">
        <f t="shared" si="30"/>
        <v>Availability of courses for the empowerment of end-users.</v>
      </c>
      <c r="O43" s="39" t="s">
        <v>1036</v>
      </c>
      <c r="P43" s="40" t="str">
        <f t="shared" si="31"/>
        <v xml:space="preserve">Importance of donors for user trainings is high. </v>
      </c>
      <c r="Q43" s="40" t="str">
        <f t="shared" si="31"/>
        <v xml:space="preserve">Importance of donors for user trainings is high. </v>
      </c>
      <c r="R43" s="40" t="str">
        <f t="shared" si="31"/>
        <v xml:space="preserve">Importance of donors for user trainings is high. </v>
      </c>
      <c r="S43" s="40" t="str">
        <f t="shared" si="31"/>
        <v xml:space="preserve">Importance of donors for user trainings is high. </v>
      </c>
      <c r="T43" s="40" t="str">
        <f t="shared" si="31"/>
        <v xml:space="preserve">Importance of donors for user trainings is high. </v>
      </c>
      <c r="U43" s="40" t="str">
        <f t="shared" si="31"/>
        <v xml:space="preserve">Importance of donors for user trainings is high. </v>
      </c>
      <c r="V43" s="40" t="str">
        <f t="shared" si="31"/>
        <v xml:space="preserve">Importance of donors for user trainings is high. </v>
      </c>
      <c r="W43" s="40" t="str">
        <f t="shared" si="31"/>
        <v xml:space="preserve">Importance of donors for user trainings is high. </v>
      </c>
      <c r="X43" s="40" t="str">
        <f t="shared" si="31"/>
        <v xml:space="preserve">Importance of donors for user trainings is high. </v>
      </c>
      <c r="Y43" s="40" t="s">
        <v>597</v>
      </c>
      <c r="Z43" s="41" t="str">
        <f t="shared" si="32"/>
        <v>Trainings are still provided by donors for early adopters; businesses offer only limited trainings.</v>
      </c>
      <c r="AA43" s="41" t="str">
        <f t="shared" si="32"/>
        <v>Trainings are still provided by donors for early adopters; businesses offer only limited trainings.</v>
      </c>
      <c r="AB43" s="41" t="str">
        <f t="shared" si="32"/>
        <v>Trainings are still provided by donors for early adopters; businesses offer only limited trainings.</v>
      </c>
      <c r="AC43" s="41" t="str">
        <f t="shared" si="32"/>
        <v>Trainings are still provided by donors for early adopters; businesses offer only limited trainings.</v>
      </c>
      <c r="AD43" s="41" t="str">
        <f t="shared" si="32"/>
        <v>Trainings are still provided by donors for early adopters; businesses offer only limited trainings.</v>
      </c>
      <c r="AE43" s="41" t="str">
        <f t="shared" si="32"/>
        <v>Trainings are still provided by donors for early adopters; businesses offer only limited trainings.</v>
      </c>
      <c r="AF43" s="41" t="str">
        <f t="shared" si="32"/>
        <v>Trainings are still provided by donors for early adopters; businesses offer only limited trainings.</v>
      </c>
      <c r="AG43" s="41" t="str">
        <f t="shared" si="32"/>
        <v>Trainings are still provided by donors for early adopters; businesses offer only limited trainings.</v>
      </c>
      <c r="AH43" s="41" t="str">
        <f t="shared" si="32"/>
        <v>Trainings are still provided by donors for early adopters; businesses offer only limited trainings.</v>
      </c>
      <c r="AI43" s="41" t="s">
        <v>598</v>
      </c>
      <c r="AJ43" s="42" t="str">
        <f t="shared" si="33"/>
        <v>Donors make businesses understand the importance of user trainings.</v>
      </c>
      <c r="AK43" s="42" t="str">
        <f t="shared" si="33"/>
        <v>Donors make businesses understand the importance of user trainings.</v>
      </c>
      <c r="AL43" s="42" t="str">
        <f t="shared" si="33"/>
        <v>Donors make businesses understand the importance of user trainings.</v>
      </c>
      <c r="AM43" s="42" t="str">
        <f t="shared" si="33"/>
        <v>Donors make businesses understand the importance of user trainings.</v>
      </c>
      <c r="AN43" s="42" t="str">
        <f t="shared" si="33"/>
        <v>Donors make businesses understand the importance of user trainings.</v>
      </c>
      <c r="AO43" s="42" t="str">
        <f t="shared" si="33"/>
        <v>Donors make businesses understand the importance of user trainings.</v>
      </c>
      <c r="AP43" s="42" t="str">
        <f t="shared" si="33"/>
        <v>Donors make businesses understand the importance of user trainings.</v>
      </c>
      <c r="AQ43" s="42" t="str">
        <f t="shared" si="33"/>
        <v>Donors make businesses understand the importance of user trainings.</v>
      </c>
      <c r="AR43" s="42" t="str">
        <f t="shared" si="33"/>
        <v>Donors make businesses understand the importance of user trainings.</v>
      </c>
      <c r="AS43" s="42" t="s">
        <v>599</v>
      </c>
      <c r="AT43" s="43" t="str">
        <f t="shared" si="34"/>
        <v>Businesses recognize the importance of user trainings and offer widespread support.</v>
      </c>
      <c r="AU43" s="43" t="str">
        <f t="shared" si="34"/>
        <v>Businesses recognize the importance of user trainings and offer widespread support.</v>
      </c>
      <c r="AV43" s="43" t="str">
        <f t="shared" si="34"/>
        <v>Businesses recognize the importance of user trainings and offer widespread support.</v>
      </c>
      <c r="AW43" s="43" t="str">
        <f t="shared" si="34"/>
        <v>Businesses recognize the importance of user trainings and offer widespread support.</v>
      </c>
      <c r="AX43" s="43" t="str">
        <f t="shared" si="34"/>
        <v>Businesses recognize the importance of user trainings and offer widespread support.</v>
      </c>
      <c r="AY43" s="43" t="str">
        <f t="shared" si="34"/>
        <v>Businesses recognize the importance of user trainings and offer widespread support.</v>
      </c>
      <c r="AZ43" s="43" t="str">
        <f t="shared" si="34"/>
        <v>Businesses recognize the importance of user trainings and offer widespread support.</v>
      </c>
      <c r="BA43" s="43" t="str">
        <f t="shared" si="34"/>
        <v>Businesses recognize the importance of user trainings and offer widespread support.</v>
      </c>
      <c r="BB43" s="43" t="str">
        <f t="shared" si="34"/>
        <v>Businesses recognize the importance of user trainings and offer widespread support.</v>
      </c>
      <c r="BC43" s="43" t="s">
        <v>600</v>
      </c>
      <c r="BD43" s="244"/>
      <c r="BE43" s="39" t="str">
        <f t="shared" si="35"/>
        <v>Disponibilité de cours pour l'autonomisation des utilisateurs finaux.</v>
      </c>
      <c r="BF43" s="39" t="str">
        <f t="shared" si="35"/>
        <v>Disponibilité de cours pour l'autonomisation des utilisateurs finaux.</v>
      </c>
      <c r="BG43" s="39" t="str">
        <f t="shared" si="35"/>
        <v>Disponibilité de cours pour l'autonomisation des utilisateurs finaux.</v>
      </c>
      <c r="BH43" s="39" t="str">
        <f t="shared" si="35"/>
        <v>Disponibilité de cours pour l'autonomisation des utilisateurs finaux.</v>
      </c>
      <c r="BI43" s="39" t="str">
        <f t="shared" si="35"/>
        <v>Disponibilité de cours pour l'autonomisation des utilisateurs finaux.</v>
      </c>
      <c r="BJ43" s="39" t="str">
        <f t="shared" si="35"/>
        <v>Disponibilité de cours pour l'autonomisation des utilisateurs finaux.</v>
      </c>
      <c r="BK43" s="39" t="str">
        <f t="shared" si="35"/>
        <v>Disponibilité de cours pour l'autonomisation des utilisateurs finaux.</v>
      </c>
      <c r="BL43" s="39" t="str">
        <f t="shared" si="35"/>
        <v>Disponibilité de cours pour l'autonomisation des utilisateurs finaux.</v>
      </c>
      <c r="BM43" s="39" t="str">
        <f t="shared" si="35"/>
        <v>Disponibilité de cours pour l'autonomisation des utilisateurs finaux.</v>
      </c>
      <c r="BN43" s="39" t="s">
        <v>823</v>
      </c>
      <c r="BO43" s="40" t="str">
        <f t="shared" si="36"/>
        <v xml:space="preserve">Grande dependance aux bailleurs pour les formations destinées aux utilisateurs. </v>
      </c>
      <c r="BP43" s="40" t="str">
        <f t="shared" si="36"/>
        <v xml:space="preserve">Grande dependance aux bailleurs pour les formations destinées aux utilisateurs. </v>
      </c>
      <c r="BQ43" s="40" t="str">
        <f t="shared" si="36"/>
        <v xml:space="preserve">Grande dependance aux bailleurs pour les formations destinées aux utilisateurs. </v>
      </c>
      <c r="BR43" s="40" t="str">
        <f t="shared" si="36"/>
        <v xml:space="preserve">Grande dependance aux bailleurs pour les formations destinées aux utilisateurs. </v>
      </c>
      <c r="BS43" s="40" t="str">
        <f t="shared" si="36"/>
        <v xml:space="preserve">Grande dependance aux bailleurs pour les formations destinées aux utilisateurs. </v>
      </c>
      <c r="BT43" s="40" t="str">
        <f t="shared" si="36"/>
        <v xml:space="preserve">Grande dependance aux bailleurs pour les formations destinées aux utilisateurs. </v>
      </c>
      <c r="BU43" s="40" t="str">
        <f t="shared" si="36"/>
        <v xml:space="preserve">Grande dependance aux bailleurs pour les formations destinées aux utilisateurs. </v>
      </c>
      <c r="BV43" s="40" t="str">
        <f t="shared" si="36"/>
        <v xml:space="preserve">Grande dependance aux bailleurs pour les formations destinées aux utilisateurs. </v>
      </c>
      <c r="BW43" s="40" t="str">
        <f t="shared" si="36"/>
        <v xml:space="preserve">Grande dependance aux bailleurs pour les formations destinées aux utilisateurs. </v>
      </c>
      <c r="BX43" s="40" t="s">
        <v>894</v>
      </c>
      <c r="BY43" s="41" t="str">
        <f t="shared" si="37"/>
        <v>Les formations sont toujours offertes par les bailleurs pour les premiers utilisateurs ; les entreprises n'offrent que des formations limitées.</v>
      </c>
      <c r="BZ43" s="41" t="str">
        <f t="shared" si="37"/>
        <v>Les formations sont toujours offertes par les bailleurs pour les premiers utilisateurs ; les entreprises n'offrent que des formations limitées.</v>
      </c>
      <c r="CA43" s="41" t="str">
        <f t="shared" si="37"/>
        <v>Les formations sont toujours offertes par les bailleurs pour les premiers utilisateurs ; les entreprises n'offrent que des formations limitées.</v>
      </c>
      <c r="CB43" s="41" t="str">
        <f t="shared" si="37"/>
        <v>Les formations sont toujours offertes par les bailleurs pour les premiers utilisateurs ; les entreprises n'offrent que des formations limitées.</v>
      </c>
      <c r="CC43" s="41" t="str">
        <f t="shared" si="37"/>
        <v>Les formations sont toujours offertes par les bailleurs pour les premiers utilisateurs ; les entreprises n'offrent que des formations limitées.</v>
      </c>
      <c r="CD43" s="41" t="str">
        <f t="shared" si="37"/>
        <v>Les formations sont toujours offertes par les bailleurs pour les premiers utilisateurs ; les entreprises n'offrent que des formations limitées.</v>
      </c>
      <c r="CE43" s="41" t="str">
        <f t="shared" si="37"/>
        <v>Les formations sont toujours offertes par les bailleurs pour les premiers utilisateurs ; les entreprises n'offrent que des formations limitées.</v>
      </c>
      <c r="CF43" s="41" t="str">
        <f t="shared" si="37"/>
        <v>Les formations sont toujours offertes par les bailleurs pour les premiers utilisateurs ; les entreprises n'offrent que des formations limitées.</v>
      </c>
      <c r="CG43" s="41" t="str">
        <f t="shared" si="37"/>
        <v>Les formations sont toujours offertes par les bailleurs pour les premiers utilisateurs ; les entreprises n'offrent que des formations limitées.</v>
      </c>
      <c r="CH43" s="41" t="s">
        <v>938</v>
      </c>
      <c r="CI43" s="42" t="str">
        <f t="shared" si="38"/>
        <v>Les bailleurs font comprendre aux entreprises l'importance des formations destinées aux utilisateurs.</v>
      </c>
      <c r="CJ43" s="42" t="str">
        <f t="shared" si="38"/>
        <v>Les bailleurs font comprendre aux entreprises l'importance des formations destinées aux utilisateurs.</v>
      </c>
      <c r="CK43" s="42" t="str">
        <f t="shared" si="38"/>
        <v>Les bailleurs font comprendre aux entreprises l'importance des formations destinées aux utilisateurs.</v>
      </c>
      <c r="CL43" s="42" t="str">
        <f t="shared" si="38"/>
        <v>Les bailleurs font comprendre aux entreprises l'importance des formations destinées aux utilisateurs.</v>
      </c>
      <c r="CM43" s="42" t="str">
        <f t="shared" si="38"/>
        <v>Les bailleurs font comprendre aux entreprises l'importance des formations destinées aux utilisateurs.</v>
      </c>
      <c r="CN43" s="42" t="str">
        <f t="shared" si="38"/>
        <v>Les bailleurs font comprendre aux entreprises l'importance des formations destinées aux utilisateurs.</v>
      </c>
      <c r="CO43" s="42" t="str">
        <f t="shared" si="38"/>
        <v>Les bailleurs font comprendre aux entreprises l'importance des formations destinées aux utilisateurs.</v>
      </c>
      <c r="CP43" s="42" t="str">
        <f t="shared" si="38"/>
        <v>Les bailleurs font comprendre aux entreprises l'importance des formations destinées aux utilisateurs.</v>
      </c>
      <c r="CQ43" s="42" t="str">
        <f t="shared" si="38"/>
        <v>Les bailleurs font comprendre aux entreprises l'importance des formations destinées aux utilisateurs.</v>
      </c>
      <c r="CR43" s="42" t="s">
        <v>973</v>
      </c>
      <c r="CS43" s="43" t="str">
        <f t="shared" si="39"/>
        <v>Les entreprises reconnaissent l'importance des formations destinées aux utilisateurs et offrent un soutien généralisé.</v>
      </c>
      <c r="CT43" s="43" t="str">
        <f t="shared" si="39"/>
        <v>Les entreprises reconnaissent l'importance des formations destinées aux utilisateurs et offrent un soutien généralisé.</v>
      </c>
      <c r="CU43" s="43" t="str">
        <f t="shared" si="39"/>
        <v>Les entreprises reconnaissent l'importance des formations destinées aux utilisateurs et offrent un soutien généralisé.</v>
      </c>
      <c r="CV43" s="43" t="str">
        <f t="shared" si="39"/>
        <v>Les entreprises reconnaissent l'importance des formations destinées aux utilisateurs et offrent un soutien généralisé.</v>
      </c>
      <c r="CW43" s="43" t="str">
        <f t="shared" si="39"/>
        <v>Les entreprises reconnaissent l'importance des formations destinées aux utilisateurs et offrent un soutien généralisé.</v>
      </c>
      <c r="CX43" s="43" t="str">
        <f t="shared" si="39"/>
        <v>Les entreprises reconnaissent l'importance des formations destinées aux utilisateurs et offrent un soutien généralisé.</v>
      </c>
      <c r="CY43" s="43" t="str">
        <f t="shared" si="39"/>
        <v>Les entreprises reconnaissent l'importance des formations destinées aux utilisateurs et offrent un soutien généralisé.</v>
      </c>
      <c r="CZ43" s="43" t="str">
        <f t="shared" si="39"/>
        <v>Les entreprises reconnaissent l'importance des formations destinées aux utilisateurs et offrent un soutien généralisé.</v>
      </c>
      <c r="DA43" s="43" t="str">
        <f t="shared" si="39"/>
        <v>Les entreprises reconnaissent l'importance des formations destinées aux utilisateurs et offrent un soutien généralisé.</v>
      </c>
      <c r="DB43" s="43" t="s">
        <v>999</v>
      </c>
      <c r="DC43" s="441"/>
    </row>
    <row r="44" spans="1:107" ht="15.75" thickTop="1" x14ac:dyDescent="0.25">
      <c r="A44" s="244"/>
      <c r="B44" s="244"/>
      <c r="C44" s="244"/>
      <c r="D44" s="244"/>
      <c r="E44" s="254"/>
      <c r="F44" s="254"/>
      <c r="G44" s="254"/>
      <c r="H44" s="254"/>
      <c r="I44" s="254"/>
      <c r="J44" s="254"/>
      <c r="K44" s="254"/>
      <c r="L44" s="254"/>
      <c r="M44" s="254"/>
      <c r="N44" s="254"/>
      <c r="O44" s="254"/>
      <c r="P44" s="254"/>
      <c r="Q44" s="254"/>
      <c r="R44" s="254"/>
      <c r="S44" s="254"/>
      <c r="T44" s="246"/>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DC44" s="441"/>
    </row>
    <row r="45" spans="1:107" ht="15" x14ac:dyDescent="0.25">
      <c r="B45" s="32"/>
      <c r="C45" s="32"/>
      <c r="D45" s="32"/>
      <c r="E45" s="52"/>
      <c r="F45" s="52"/>
      <c r="G45" s="52"/>
      <c r="H45" s="52"/>
      <c r="I45" s="52"/>
      <c r="J45" s="52"/>
      <c r="K45" s="52"/>
      <c r="L45" s="52"/>
      <c r="M45" s="52"/>
      <c r="N45" s="52"/>
      <c r="O45" s="52"/>
      <c r="P45" s="52"/>
      <c r="Q45" s="52"/>
      <c r="R45" s="52"/>
      <c r="S45" s="52"/>
    </row>
    <row r="46" spans="1:107" ht="15" x14ac:dyDescent="0.25">
      <c r="B46" s="32"/>
      <c r="C46" s="32"/>
      <c r="D46" s="32"/>
      <c r="E46" s="52"/>
      <c r="F46" s="52"/>
      <c r="G46" s="52"/>
      <c r="H46" s="52"/>
      <c r="I46" s="52"/>
      <c r="J46" s="52"/>
      <c r="K46" s="52"/>
      <c r="L46" s="52"/>
      <c r="M46" s="52"/>
      <c r="N46" s="52"/>
      <c r="O46" s="52"/>
      <c r="P46" s="52"/>
      <c r="Q46" s="52"/>
      <c r="R46" s="52"/>
      <c r="S46" s="52"/>
    </row>
    <row r="47" spans="1:107" ht="15" x14ac:dyDescent="0.25">
      <c r="B47" s="32"/>
      <c r="C47" s="32"/>
      <c r="D47" s="32"/>
      <c r="E47" s="52"/>
      <c r="F47" s="52"/>
      <c r="G47" s="52"/>
      <c r="H47" s="52"/>
      <c r="I47" s="52"/>
      <c r="J47" s="52"/>
      <c r="K47" s="52"/>
      <c r="L47" s="52"/>
      <c r="M47" s="52"/>
      <c r="N47" s="52"/>
      <c r="O47" s="52"/>
      <c r="P47" s="52"/>
      <c r="Q47" s="52"/>
      <c r="R47" s="52"/>
      <c r="S47" s="52"/>
    </row>
    <row r="48" spans="1:107" ht="15" x14ac:dyDescent="0.25">
      <c r="B48" s="32"/>
      <c r="C48" s="32"/>
      <c r="D48" s="32"/>
      <c r="E48" s="52"/>
      <c r="F48" s="52"/>
      <c r="G48" s="52"/>
      <c r="H48" s="52"/>
      <c r="I48" s="52"/>
      <c r="J48" s="52"/>
      <c r="K48" s="52"/>
      <c r="L48" s="52"/>
      <c r="M48" s="52"/>
      <c r="N48" s="52"/>
      <c r="O48" s="52"/>
      <c r="P48" s="52"/>
      <c r="Q48" s="52"/>
      <c r="R48" s="52"/>
      <c r="S48" s="52"/>
    </row>
    <row r="49" spans="2:19" ht="15" x14ac:dyDescent="0.25">
      <c r="B49" s="32"/>
      <c r="C49" s="32"/>
      <c r="D49" s="32"/>
      <c r="E49" s="52"/>
      <c r="F49" s="52"/>
      <c r="G49" s="52"/>
      <c r="H49" s="52"/>
      <c r="I49" s="52"/>
      <c r="J49" s="52"/>
      <c r="K49" s="52"/>
      <c r="L49" s="52"/>
      <c r="M49" s="52"/>
      <c r="N49" s="52"/>
      <c r="O49" s="52"/>
      <c r="P49" s="52"/>
      <c r="Q49" s="52"/>
      <c r="R49" s="52"/>
      <c r="S49" s="52"/>
    </row>
    <row r="50" spans="2:19" ht="15" x14ac:dyDescent="0.25">
      <c r="B50" s="32"/>
      <c r="C50" s="32"/>
      <c r="D50" s="32"/>
      <c r="E50" s="52"/>
      <c r="F50" s="52"/>
      <c r="G50" s="52"/>
      <c r="H50" s="52"/>
      <c r="I50" s="52"/>
      <c r="J50" s="52"/>
      <c r="K50" s="52"/>
      <c r="L50" s="52"/>
      <c r="M50" s="52"/>
      <c r="N50" s="52"/>
      <c r="O50" s="52"/>
      <c r="P50" s="52"/>
      <c r="Q50" s="52"/>
      <c r="R50" s="52"/>
      <c r="S50" s="52"/>
    </row>
    <row r="51" spans="2:19" ht="15" x14ac:dyDescent="0.25">
      <c r="B51" s="32"/>
      <c r="C51" s="32"/>
      <c r="D51" s="32"/>
      <c r="E51" s="52"/>
      <c r="F51" s="52"/>
      <c r="G51" s="52"/>
      <c r="H51" s="52"/>
      <c r="I51" s="52"/>
      <c r="J51" s="52"/>
      <c r="K51" s="52"/>
      <c r="L51" s="52"/>
      <c r="M51" s="52"/>
      <c r="N51" s="52"/>
      <c r="O51" s="52"/>
      <c r="P51" s="52"/>
      <c r="Q51" s="52"/>
      <c r="R51" s="52"/>
      <c r="S51" s="52"/>
    </row>
    <row r="52" spans="2:19" ht="15" x14ac:dyDescent="0.25">
      <c r="B52" s="32"/>
      <c r="C52" s="32"/>
      <c r="D52" s="32"/>
      <c r="E52" s="52"/>
      <c r="F52" s="52"/>
      <c r="G52" s="52"/>
      <c r="H52" s="52"/>
      <c r="I52" s="52"/>
      <c r="J52" s="52"/>
      <c r="K52" s="52"/>
      <c r="L52" s="52"/>
      <c r="M52" s="52"/>
      <c r="N52" s="52"/>
      <c r="O52" s="52"/>
      <c r="P52" s="52"/>
      <c r="Q52" s="52"/>
      <c r="R52" s="52"/>
      <c r="S52" s="52"/>
    </row>
    <row r="53" spans="2:19" ht="15" x14ac:dyDescent="0.25">
      <c r="B53" s="32"/>
      <c r="C53" s="32"/>
      <c r="D53" s="32"/>
      <c r="E53" s="52"/>
      <c r="F53" s="52"/>
      <c r="G53" s="52"/>
      <c r="H53" s="52"/>
      <c r="I53" s="52"/>
      <c r="J53" s="52"/>
      <c r="K53" s="52"/>
      <c r="L53" s="52"/>
      <c r="M53" s="52"/>
      <c r="N53" s="52"/>
      <c r="O53" s="52"/>
      <c r="P53" s="52"/>
      <c r="Q53" s="52"/>
      <c r="R53" s="52"/>
      <c r="S53" s="52"/>
    </row>
    <row r="54" spans="2:19" ht="15" x14ac:dyDescent="0.25">
      <c r="B54" s="32"/>
      <c r="C54" s="32"/>
      <c r="D54" s="32"/>
      <c r="P54" s="52"/>
      <c r="Q54" s="52"/>
      <c r="R54" s="52"/>
      <c r="S54" s="52"/>
    </row>
    <row r="55" spans="2:19" ht="15" x14ac:dyDescent="0.25">
      <c r="B55" s="32"/>
      <c r="C55" s="32"/>
      <c r="D55" s="32"/>
      <c r="P55" s="52"/>
      <c r="Q55" s="52"/>
      <c r="R55" s="52"/>
      <c r="S55" s="52"/>
    </row>
    <row r="56" spans="2:19" ht="15" x14ac:dyDescent="0.25">
      <c r="B56" s="32"/>
      <c r="C56" s="32"/>
      <c r="D56" s="32"/>
      <c r="P56" s="52"/>
      <c r="Q56" s="52"/>
      <c r="R56" s="52"/>
      <c r="S56" s="52"/>
    </row>
    <row r="57" spans="2:19" ht="15" x14ac:dyDescent="0.25">
      <c r="B57" s="32"/>
      <c r="C57" s="32"/>
      <c r="D57" s="32"/>
      <c r="P57" s="52"/>
      <c r="Q57" s="52"/>
      <c r="R57" s="52"/>
      <c r="S57" s="52"/>
    </row>
    <row r="58" spans="2:19" ht="15" x14ac:dyDescent="0.25">
      <c r="B58" s="32"/>
      <c r="C58" s="32"/>
      <c r="D58" s="32"/>
      <c r="P58" s="52"/>
      <c r="Q58" s="52"/>
      <c r="R58" s="52"/>
      <c r="S58" s="52"/>
    </row>
    <row r="59" spans="2:19" ht="15" x14ac:dyDescent="0.25">
      <c r="B59" s="32"/>
      <c r="C59" s="32"/>
      <c r="D59" s="32"/>
      <c r="P59" s="52"/>
      <c r="Q59" s="52"/>
      <c r="R59" s="52"/>
      <c r="S59" s="52"/>
    </row>
    <row r="60" spans="2:19" ht="15" x14ac:dyDescent="0.25">
      <c r="B60" s="32"/>
      <c r="C60" s="32"/>
      <c r="D60" s="32"/>
      <c r="P60" s="52"/>
      <c r="Q60" s="52"/>
      <c r="R60" s="52"/>
      <c r="S60" s="52"/>
    </row>
    <row r="61" spans="2:19" ht="15" x14ac:dyDescent="0.25">
      <c r="B61" s="32"/>
      <c r="C61" s="32"/>
      <c r="D61" s="32"/>
      <c r="P61" s="52"/>
      <c r="Q61" s="52"/>
      <c r="R61" s="52"/>
      <c r="S61" s="52"/>
    </row>
    <row r="62" spans="2:19" ht="15" x14ac:dyDescent="0.25">
      <c r="B62" s="32"/>
      <c r="C62" s="32"/>
      <c r="D62" s="32"/>
      <c r="P62" s="52"/>
      <c r="Q62" s="52"/>
      <c r="R62" s="52"/>
      <c r="S62" s="52"/>
    </row>
    <row r="63" spans="2:19" ht="15" x14ac:dyDescent="0.25">
      <c r="B63" s="32"/>
      <c r="C63" s="32"/>
      <c r="D63" s="32"/>
      <c r="P63" s="52"/>
      <c r="Q63" s="52"/>
      <c r="R63" s="52"/>
      <c r="S63" s="52"/>
    </row>
    <row r="64" spans="2:19" ht="15" x14ac:dyDescent="0.25">
      <c r="B64" s="32"/>
      <c r="C64" s="32"/>
      <c r="D64" s="32"/>
      <c r="P64" s="52"/>
      <c r="Q64" s="52"/>
      <c r="R64" s="52"/>
      <c r="S64" s="52"/>
    </row>
    <row r="65" spans="2:19" ht="15" x14ac:dyDescent="0.25">
      <c r="B65" s="32"/>
      <c r="C65" s="32"/>
      <c r="D65" s="32"/>
      <c r="P65" s="52"/>
      <c r="Q65" s="52"/>
      <c r="R65" s="52"/>
      <c r="S65" s="52"/>
    </row>
    <row r="66" spans="2:19" ht="15" x14ac:dyDescent="0.25">
      <c r="B66" s="32"/>
      <c r="C66" s="32"/>
      <c r="D66" s="32"/>
      <c r="P66" s="52"/>
      <c r="Q66" s="52"/>
      <c r="R66" s="52"/>
      <c r="S66" s="52"/>
    </row>
    <row r="67" spans="2:19" ht="15" x14ac:dyDescent="0.25">
      <c r="B67" s="32"/>
      <c r="C67" s="32"/>
      <c r="D67" s="32"/>
      <c r="P67" s="52"/>
      <c r="Q67" s="52"/>
      <c r="R67" s="52"/>
      <c r="S67" s="52"/>
    </row>
    <row r="68" spans="2:19" ht="15" x14ac:dyDescent="0.25">
      <c r="B68" s="32"/>
      <c r="C68" s="32"/>
      <c r="D68" s="32"/>
      <c r="P68" s="52"/>
      <c r="Q68" s="52"/>
      <c r="R68" s="52"/>
      <c r="S68" s="52"/>
    </row>
    <row r="69" spans="2:19" ht="15" x14ac:dyDescent="0.25">
      <c r="B69" s="32"/>
      <c r="C69" s="32"/>
      <c r="D69" s="32"/>
      <c r="P69" s="52"/>
      <c r="Q69" s="52"/>
      <c r="R69" s="52"/>
      <c r="S69" s="52"/>
    </row>
    <row r="70" spans="2:19" ht="15" x14ac:dyDescent="0.25">
      <c r="B70" s="32"/>
      <c r="C70" s="32"/>
      <c r="D70" s="32"/>
      <c r="P70" s="52"/>
      <c r="Q70" s="52"/>
      <c r="R70" s="52"/>
      <c r="S70" s="52"/>
    </row>
    <row r="71" spans="2:19" ht="15" x14ac:dyDescent="0.25">
      <c r="B71" s="32"/>
      <c r="C71" s="32"/>
      <c r="D71" s="32"/>
      <c r="P71" s="52"/>
      <c r="Q71" s="52"/>
      <c r="R71" s="52"/>
      <c r="S71" s="52"/>
    </row>
    <row r="72" spans="2:19" ht="15" x14ac:dyDescent="0.25">
      <c r="B72" s="32"/>
      <c r="C72" s="32"/>
      <c r="D72" s="32"/>
      <c r="P72" s="52"/>
      <c r="Q72" s="52"/>
      <c r="R72" s="52"/>
      <c r="S72" s="52"/>
    </row>
    <row r="73" spans="2:19" ht="15" x14ac:dyDescent="0.25">
      <c r="B73" s="32"/>
      <c r="C73" s="32"/>
      <c r="D73" s="32"/>
      <c r="P73" s="52"/>
      <c r="Q73" s="52"/>
      <c r="R73" s="52"/>
      <c r="S73" s="52"/>
    </row>
    <row r="74" spans="2:19" ht="15" x14ac:dyDescent="0.25">
      <c r="B74" s="32"/>
      <c r="C74" s="32"/>
      <c r="D74" s="32"/>
      <c r="P74" s="52"/>
      <c r="Q74" s="52"/>
      <c r="R74" s="52"/>
      <c r="S74" s="52"/>
    </row>
    <row r="75" spans="2:19" ht="15" x14ac:dyDescent="0.25">
      <c r="B75" s="32"/>
      <c r="C75" s="32"/>
      <c r="D75" s="32"/>
      <c r="P75" s="52"/>
      <c r="Q75" s="52"/>
      <c r="R75" s="52"/>
      <c r="S75" s="52"/>
    </row>
    <row r="76" spans="2:19" ht="15" x14ac:dyDescent="0.25">
      <c r="B76" s="32"/>
      <c r="C76" s="32"/>
      <c r="D76" s="32"/>
      <c r="P76" s="52"/>
      <c r="Q76" s="52"/>
      <c r="R76" s="52"/>
      <c r="S76" s="52"/>
    </row>
    <row r="77" spans="2:19" ht="15" x14ac:dyDescent="0.25">
      <c r="B77" s="32"/>
      <c r="C77" s="32"/>
      <c r="D77" s="32"/>
      <c r="P77" s="52"/>
      <c r="Q77" s="52"/>
      <c r="R77" s="52"/>
      <c r="S77" s="52"/>
    </row>
    <row r="78" spans="2:19" ht="15" x14ac:dyDescent="0.25">
      <c r="B78" s="32"/>
      <c r="C78" s="32"/>
      <c r="D78" s="32"/>
      <c r="P78" s="52"/>
      <c r="Q78" s="52"/>
      <c r="R78" s="52"/>
      <c r="S78" s="52"/>
    </row>
    <row r="79" spans="2:19" ht="15" x14ac:dyDescent="0.25">
      <c r="B79" s="32"/>
      <c r="C79" s="32"/>
      <c r="D79" s="32"/>
      <c r="P79" s="52"/>
      <c r="Q79" s="52"/>
      <c r="R79" s="52"/>
      <c r="S79" s="52"/>
    </row>
    <row r="80" spans="2:19" ht="15" x14ac:dyDescent="0.25">
      <c r="B80" s="32"/>
      <c r="C80" s="32"/>
      <c r="D80" s="32"/>
      <c r="P80" s="52"/>
      <c r="Q80" s="52"/>
      <c r="R80" s="52"/>
      <c r="S80" s="52"/>
    </row>
    <row r="81" spans="2:19" ht="15" x14ac:dyDescent="0.25">
      <c r="B81" s="32"/>
      <c r="C81" s="32"/>
      <c r="D81" s="32"/>
      <c r="P81" s="52"/>
      <c r="Q81" s="52"/>
      <c r="R81" s="52"/>
      <c r="S81" s="52"/>
    </row>
    <row r="82" spans="2:19" ht="15" x14ac:dyDescent="0.25">
      <c r="B82" s="32"/>
      <c r="C82" s="32"/>
      <c r="D82" s="32"/>
      <c r="P82" s="52"/>
      <c r="Q82" s="52"/>
      <c r="R82" s="52"/>
      <c r="S82" s="52"/>
    </row>
    <row r="83" spans="2:19" ht="15" x14ac:dyDescent="0.25">
      <c r="B83" s="32"/>
      <c r="C83" s="32"/>
      <c r="D83" s="32"/>
      <c r="P83" s="52"/>
      <c r="Q83" s="52"/>
      <c r="R83" s="52"/>
      <c r="S83" s="52"/>
    </row>
    <row r="84" spans="2:19" ht="15" x14ac:dyDescent="0.25">
      <c r="B84" s="32"/>
      <c r="C84" s="32"/>
      <c r="D84" s="32"/>
      <c r="P84" s="52"/>
      <c r="Q84" s="52"/>
      <c r="R84" s="52"/>
      <c r="S84" s="52"/>
    </row>
    <row r="85" spans="2:19" ht="15" x14ac:dyDescent="0.25">
      <c r="B85" s="32"/>
      <c r="C85" s="32"/>
      <c r="D85" s="32"/>
      <c r="P85" s="52"/>
      <c r="Q85" s="52"/>
      <c r="R85" s="52"/>
      <c r="S85" s="52"/>
    </row>
    <row r="86" spans="2:19" ht="15" x14ac:dyDescent="0.25">
      <c r="B86" s="32"/>
      <c r="C86" s="32"/>
      <c r="D86" s="32"/>
      <c r="P86" s="52"/>
      <c r="Q86" s="52"/>
      <c r="R86" s="52"/>
      <c r="S86" s="52"/>
    </row>
    <row r="87" spans="2:19" ht="15" x14ac:dyDescent="0.25">
      <c r="B87" s="32"/>
      <c r="C87" s="32"/>
      <c r="D87" s="32"/>
      <c r="P87" s="52"/>
      <c r="Q87" s="52"/>
      <c r="R87" s="52"/>
      <c r="S87" s="52"/>
    </row>
    <row r="88" spans="2:19" ht="15" x14ac:dyDescent="0.25">
      <c r="B88" s="32"/>
      <c r="C88" s="32"/>
      <c r="D88" s="32"/>
      <c r="P88" s="52"/>
      <c r="Q88" s="52"/>
      <c r="R88" s="52"/>
      <c r="S88" s="52"/>
    </row>
    <row r="89" spans="2:19" ht="15" x14ac:dyDescent="0.25">
      <c r="B89" s="32"/>
      <c r="C89" s="32"/>
      <c r="D89" s="32"/>
      <c r="P89" s="52"/>
      <c r="Q89" s="52"/>
      <c r="R89" s="52"/>
      <c r="S89" s="52"/>
    </row>
    <row r="90" spans="2:19" ht="15" x14ac:dyDescent="0.25">
      <c r="B90" s="32"/>
      <c r="C90" s="32"/>
      <c r="D90" s="32"/>
      <c r="P90" s="52"/>
      <c r="Q90" s="52"/>
      <c r="R90" s="52"/>
      <c r="S90" s="52"/>
    </row>
    <row r="91" spans="2:19" ht="15" x14ac:dyDescent="0.25">
      <c r="B91" s="32"/>
      <c r="C91" s="32"/>
      <c r="D91" s="32"/>
      <c r="P91" s="52"/>
      <c r="Q91" s="52"/>
      <c r="R91" s="52"/>
      <c r="S91" s="52"/>
    </row>
    <row r="92" spans="2:19" ht="15" x14ac:dyDescent="0.25">
      <c r="B92" s="32"/>
      <c r="C92" s="32"/>
      <c r="D92" s="32"/>
      <c r="P92" s="52"/>
      <c r="Q92" s="52"/>
      <c r="R92" s="52"/>
      <c r="S92" s="52"/>
    </row>
    <row r="93" spans="2:19" ht="15" x14ac:dyDescent="0.25">
      <c r="B93" s="32"/>
      <c r="C93" s="32"/>
      <c r="D93" s="32"/>
      <c r="P93" s="52"/>
      <c r="Q93" s="52"/>
      <c r="R93" s="52"/>
      <c r="S93" s="52"/>
    </row>
    <row r="94" spans="2:19" ht="15" x14ac:dyDescent="0.25">
      <c r="B94" s="32"/>
      <c r="C94" s="32"/>
      <c r="D94" s="32"/>
      <c r="P94" s="52"/>
      <c r="Q94" s="52"/>
      <c r="R94" s="52"/>
      <c r="S94" s="52"/>
    </row>
    <row r="95" spans="2:19" ht="15" x14ac:dyDescent="0.25">
      <c r="B95" s="32"/>
      <c r="C95" s="32"/>
      <c r="D95" s="32"/>
      <c r="P95" s="52"/>
      <c r="Q95" s="52"/>
      <c r="R95" s="52"/>
      <c r="S95" s="52"/>
    </row>
    <row r="96" spans="2:19" ht="15" x14ac:dyDescent="0.25">
      <c r="B96" s="32"/>
      <c r="C96" s="32"/>
      <c r="D96" s="32"/>
      <c r="P96" s="52"/>
      <c r="Q96" s="52"/>
      <c r="R96" s="52"/>
      <c r="S96" s="52"/>
    </row>
    <row r="97" spans="2:19" ht="15" x14ac:dyDescent="0.25">
      <c r="B97" s="32"/>
      <c r="C97" s="32"/>
      <c r="D97" s="32"/>
      <c r="P97" s="52"/>
      <c r="Q97" s="52"/>
      <c r="R97" s="52"/>
      <c r="S97" s="52"/>
    </row>
    <row r="98" spans="2:19" ht="15" x14ac:dyDescent="0.25">
      <c r="B98" s="32"/>
      <c r="C98" s="32"/>
      <c r="D98" s="32"/>
      <c r="P98" s="52"/>
      <c r="Q98" s="52"/>
      <c r="R98" s="52"/>
      <c r="S98" s="52"/>
    </row>
    <row r="99" spans="2:19" ht="15" x14ac:dyDescent="0.25">
      <c r="B99" s="32"/>
      <c r="C99" s="32"/>
      <c r="D99" s="32"/>
      <c r="P99" s="52"/>
      <c r="Q99" s="52"/>
      <c r="R99" s="52"/>
      <c r="S99" s="52"/>
    </row>
    <row r="100" spans="2:19" ht="15" x14ac:dyDescent="0.25">
      <c r="B100" s="32"/>
      <c r="C100" s="32"/>
      <c r="D100" s="32"/>
      <c r="P100" s="52"/>
      <c r="Q100" s="52"/>
      <c r="R100" s="52"/>
      <c r="S100" s="52"/>
    </row>
    <row r="101" spans="2:19" ht="15" x14ac:dyDescent="0.25">
      <c r="B101" s="32"/>
      <c r="C101" s="32"/>
      <c r="D101" s="32"/>
      <c r="P101" s="52"/>
      <c r="Q101" s="52"/>
      <c r="R101" s="52"/>
      <c r="S101" s="52"/>
    </row>
    <row r="102" spans="2:19" ht="15" x14ac:dyDescent="0.25">
      <c r="B102" s="32"/>
      <c r="C102" s="32"/>
      <c r="D102" s="32"/>
      <c r="P102" s="52"/>
      <c r="Q102" s="52"/>
      <c r="R102" s="52"/>
      <c r="S102" s="52"/>
    </row>
    <row r="103" spans="2:19" ht="15" x14ac:dyDescent="0.25">
      <c r="B103" s="32"/>
      <c r="C103" s="32"/>
      <c r="D103" s="32"/>
      <c r="P103" s="52"/>
      <c r="Q103" s="52"/>
      <c r="R103" s="52"/>
      <c r="S103" s="52"/>
    </row>
    <row r="104" spans="2:19" ht="15" x14ac:dyDescent="0.25">
      <c r="B104" s="32"/>
      <c r="C104" s="32"/>
      <c r="D104" s="32"/>
      <c r="P104" s="52"/>
      <c r="Q104" s="52"/>
      <c r="R104" s="52"/>
      <c r="S104" s="52"/>
    </row>
    <row r="105" spans="2:19" ht="15" x14ac:dyDescent="0.25">
      <c r="B105" s="32"/>
      <c r="C105" s="32"/>
      <c r="D105" s="32"/>
      <c r="P105" s="52"/>
      <c r="Q105" s="52"/>
      <c r="R105" s="52"/>
      <c r="S105" s="52"/>
    </row>
    <row r="106" spans="2:19" ht="15" x14ac:dyDescent="0.25">
      <c r="B106" s="32"/>
      <c r="C106" s="32"/>
      <c r="D106" s="32"/>
      <c r="P106" s="52"/>
      <c r="Q106" s="52"/>
      <c r="R106" s="52"/>
      <c r="S106" s="52"/>
    </row>
    <row r="107" spans="2:19" ht="15" x14ac:dyDescent="0.25">
      <c r="B107" s="32"/>
      <c r="C107" s="32"/>
      <c r="D107" s="32"/>
      <c r="P107" s="52"/>
      <c r="Q107" s="52"/>
      <c r="R107" s="52"/>
      <c r="S107" s="52"/>
    </row>
    <row r="108" spans="2:19" ht="15" x14ac:dyDescent="0.25">
      <c r="B108" s="32"/>
      <c r="C108" s="32"/>
      <c r="D108" s="32"/>
      <c r="P108" s="52"/>
      <c r="Q108" s="52"/>
      <c r="R108" s="52"/>
      <c r="S108" s="52"/>
    </row>
    <row r="109" spans="2:19" ht="15" x14ac:dyDescent="0.25">
      <c r="B109" s="32"/>
      <c r="C109" s="32"/>
      <c r="D109" s="32"/>
      <c r="P109" s="52"/>
      <c r="Q109" s="52"/>
      <c r="R109" s="52"/>
      <c r="S109" s="52"/>
    </row>
    <row r="110" spans="2:19" ht="15" x14ac:dyDescent="0.25">
      <c r="B110" s="32"/>
      <c r="C110" s="32"/>
      <c r="D110" s="32"/>
      <c r="P110" s="52"/>
      <c r="Q110" s="52"/>
      <c r="R110" s="52"/>
      <c r="S110" s="52"/>
    </row>
    <row r="111" spans="2:19" ht="15" x14ac:dyDescent="0.25">
      <c r="B111" s="32"/>
      <c r="C111" s="32"/>
      <c r="D111" s="32"/>
      <c r="P111" s="52"/>
      <c r="Q111" s="52"/>
      <c r="R111" s="52"/>
      <c r="S111" s="52"/>
    </row>
    <row r="112" spans="2:19" ht="15" x14ac:dyDescent="0.25">
      <c r="B112" s="32"/>
      <c r="C112" s="32"/>
      <c r="D112" s="32"/>
      <c r="P112" s="52"/>
      <c r="Q112" s="52"/>
      <c r="R112" s="52"/>
      <c r="S112" s="52"/>
    </row>
    <row r="113" spans="2:19" ht="15" x14ac:dyDescent="0.25">
      <c r="B113" s="32"/>
      <c r="C113" s="32"/>
      <c r="D113" s="32"/>
      <c r="P113" s="52"/>
      <c r="Q113" s="52"/>
      <c r="R113" s="52"/>
      <c r="S113" s="52"/>
    </row>
    <row r="114" spans="2:19" ht="15" x14ac:dyDescent="0.25">
      <c r="B114" s="32"/>
      <c r="C114" s="32"/>
      <c r="D114" s="32"/>
      <c r="P114" s="52"/>
      <c r="Q114" s="52"/>
      <c r="R114" s="52"/>
      <c r="S114" s="52"/>
    </row>
    <row r="115" spans="2:19" ht="15" x14ac:dyDescent="0.25">
      <c r="B115" s="32"/>
      <c r="C115" s="32"/>
      <c r="D115" s="32"/>
      <c r="P115" s="52"/>
      <c r="Q115" s="52"/>
      <c r="R115" s="52"/>
      <c r="S115" s="52"/>
    </row>
    <row r="116" spans="2:19" ht="15" x14ac:dyDescent="0.25">
      <c r="B116" s="32"/>
      <c r="C116" s="32"/>
      <c r="D116" s="32"/>
      <c r="P116" s="52"/>
      <c r="Q116" s="52"/>
      <c r="R116" s="52"/>
      <c r="S116" s="52"/>
    </row>
    <row r="117" spans="2:19" ht="15" x14ac:dyDescent="0.25">
      <c r="B117" s="32"/>
      <c r="C117" s="32"/>
      <c r="D117" s="32"/>
      <c r="P117" s="52"/>
      <c r="Q117" s="52"/>
      <c r="R117" s="52"/>
      <c r="S117" s="52"/>
    </row>
    <row r="118" spans="2:19" ht="15" x14ac:dyDescent="0.25">
      <c r="B118" s="32"/>
      <c r="C118" s="32"/>
      <c r="D118" s="32"/>
      <c r="P118" s="52"/>
      <c r="Q118" s="52"/>
      <c r="R118" s="52"/>
      <c r="S118" s="52"/>
    </row>
    <row r="119" spans="2:19" ht="15" x14ac:dyDescent="0.25">
      <c r="B119" s="32"/>
      <c r="C119" s="32"/>
      <c r="D119" s="32"/>
      <c r="P119" s="52"/>
      <c r="Q119" s="52"/>
      <c r="R119" s="52"/>
      <c r="S119" s="52"/>
    </row>
    <row r="120" spans="2:19" ht="15" x14ac:dyDescent="0.25">
      <c r="B120" s="32"/>
      <c r="C120" s="32"/>
      <c r="D120" s="32"/>
      <c r="P120" s="52"/>
      <c r="Q120" s="52"/>
      <c r="R120" s="52"/>
      <c r="S120" s="52"/>
    </row>
    <row r="121" spans="2:19" ht="15" x14ac:dyDescent="0.25">
      <c r="B121" s="32"/>
      <c r="C121" s="32"/>
      <c r="D121" s="32"/>
      <c r="P121" s="52"/>
      <c r="Q121" s="52"/>
      <c r="R121" s="52"/>
      <c r="S121" s="52"/>
    </row>
    <row r="122" spans="2:19" ht="15" x14ac:dyDescent="0.25">
      <c r="B122" s="32"/>
      <c r="C122" s="32"/>
      <c r="D122" s="32"/>
      <c r="P122" s="52"/>
      <c r="Q122" s="52"/>
      <c r="R122" s="52"/>
      <c r="S122" s="52"/>
    </row>
    <row r="123" spans="2:19" ht="15" x14ac:dyDescent="0.25">
      <c r="B123" s="32"/>
      <c r="C123" s="32"/>
      <c r="D123" s="32"/>
      <c r="P123" s="52"/>
      <c r="Q123" s="52"/>
      <c r="R123" s="52"/>
      <c r="S123" s="52"/>
    </row>
    <row r="124" spans="2:19" ht="15" x14ac:dyDescent="0.25">
      <c r="B124" s="32"/>
      <c r="C124" s="32"/>
      <c r="D124" s="32"/>
      <c r="P124" s="52"/>
      <c r="Q124" s="52"/>
      <c r="R124" s="52"/>
      <c r="S124" s="52"/>
    </row>
    <row r="125" spans="2:19" ht="15" x14ac:dyDescent="0.25">
      <c r="B125" s="32"/>
      <c r="C125" s="32"/>
      <c r="D125" s="32"/>
      <c r="P125" s="52"/>
      <c r="Q125" s="52"/>
      <c r="R125" s="52"/>
      <c r="S125" s="52"/>
    </row>
    <row r="126" spans="2:19" ht="15" x14ac:dyDescent="0.25">
      <c r="B126" s="32"/>
      <c r="C126" s="32"/>
      <c r="D126" s="32"/>
      <c r="P126" s="52"/>
      <c r="Q126" s="52"/>
      <c r="R126" s="52"/>
      <c r="S126" s="52"/>
    </row>
    <row r="127" spans="2:19" ht="15" x14ac:dyDescent="0.25">
      <c r="B127" s="32"/>
      <c r="C127" s="32"/>
      <c r="D127" s="32"/>
      <c r="P127" s="52"/>
      <c r="Q127" s="52"/>
      <c r="R127" s="52"/>
      <c r="S127" s="52"/>
    </row>
    <row r="128" spans="2:19" ht="15" x14ac:dyDescent="0.25">
      <c r="B128" s="32"/>
      <c r="C128" s="32"/>
      <c r="D128" s="32"/>
      <c r="P128" s="52"/>
      <c r="Q128" s="52"/>
      <c r="R128" s="52"/>
      <c r="S128" s="52"/>
    </row>
    <row r="129" spans="2:19" ht="15" x14ac:dyDescent="0.25">
      <c r="B129" s="32"/>
      <c r="C129" s="32"/>
      <c r="D129" s="32"/>
      <c r="P129" s="52"/>
      <c r="Q129" s="52"/>
      <c r="R129" s="52"/>
      <c r="S129" s="52"/>
    </row>
    <row r="130" spans="2:19" ht="15" x14ac:dyDescent="0.25">
      <c r="B130" s="32"/>
      <c r="C130" s="32"/>
      <c r="D130" s="32"/>
      <c r="P130" s="52"/>
      <c r="Q130" s="52"/>
      <c r="R130" s="52"/>
      <c r="S130" s="52"/>
    </row>
    <row r="131" spans="2:19" ht="15" x14ac:dyDescent="0.25">
      <c r="B131" s="32"/>
      <c r="C131" s="32"/>
      <c r="D131" s="32"/>
      <c r="P131" s="52"/>
      <c r="Q131" s="52"/>
      <c r="R131" s="52"/>
      <c r="S131" s="52"/>
    </row>
    <row r="132" spans="2:19" ht="15" x14ac:dyDescent="0.25">
      <c r="B132" s="32"/>
      <c r="C132" s="32"/>
      <c r="D132" s="32"/>
      <c r="P132" s="52"/>
      <c r="Q132" s="52"/>
      <c r="R132" s="52"/>
      <c r="S132" s="52"/>
    </row>
    <row r="133" spans="2:19" ht="15" x14ac:dyDescent="0.25">
      <c r="B133" s="32"/>
      <c r="C133" s="32"/>
      <c r="D133" s="32"/>
      <c r="P133" s="52"/>
      <c r="Q133" s="52"/>
      <c r="R133" s="52"/>
      <c r="S133" s="52"/>
    </row>
    <row r="134" spans="2:19" ht="15" x14ac:dyDescent="0.25">
      <c r="B134" s="32"/>
      <c r="C134" s="32"/>
      <c r="D134" s="32"/>
      <c r="P134" s="52"/>
      <c r="Q134" s="52"/>
      <c r="R134" s="52"/>
      <c r="S134" s="52"/>
    </row>
    <row r="135" spans="2:19" ht="15" x14ac:dyDescent="0.25">
      <c r="B135" s="32"/>
      <c r="C135" s="32"/>
      <c r="D135" s="32"/>
      <c r="P135" s="52"/>
      <c r="Q135" s="52"/>
      <c r="R135" s="52"/>
      <c r="S135" s="52"/>
    </row>
    <row r="136" spans="2:19" ht="15" x14ac:dyDescent="0.25">
      <c r="B136" s="32"/>
      <c r="C136" s="32"/>
      <c r="D136" s="32"/>
      <c r="P136" s="52"/>
      <c r="Q136" s="52"/>
      <c r="R136" s="52"/>
      <c r="S136" s="52"/>
    </row>
    <row r="137" spans="2:19" ht="15" x14ac:dyDescent="0.25">
      <c r="B137" s="32"/>
      <c r="C137" s="32"/>
      <c r="D137" s="32"/>
      <c r="P137" s="52"/>
      <c r="Q137" s="52"/>
      <c r="R137" s="52"/>
      <c r="S137" s="52"/>
    </row>
    <row r="138" spans="2:19" ht="15" x14ac:dyDescent="0.25">
      <c r="B138" s="32"/>
      <c r="C138" s="32"/>
      <c r="D138" s="32"/>
      <c r="P138" s="52"/>
      <c r="Q138" s="52"/>
      <c r="R138" s="52"/>
      <c r="S138" s="52"/>
    </row>
    <row r="139" spans="2:19" ht="15" x14ac:dyDescent="0.25">
      <c r="B139" s="32"/>
      <c r="C139" s="32"/>
      <c r="D139" s="32"/>
      <c r="P139" s="52"/>
      <c r="Q139" s="52"/>
      <c r="R139" s="52"/>
      <c r="S139" s="52"/>
    </row>
    <row r="140" spans="2:19" ht="15" x14ac:dyDescent="0.25">
      <c r="B140" s="32"/>
      <c r="C140" s="32"/>
      <c r="D140" s="32"/>
      <c r="P140" s="52"/>
      <c r="Q140" s="52"/>
      <c r="R140" s="52"/>
      <c r="S140" s="52"/>
    </row>
    <row r="141" spans="2:19" ht="15" x14ac:dyDescent="0.25">
      <c r="B141" s="32"/>
      <c r="C141" s="32"/>
      <c r="D141" s="32"/>
      <c r="P141" s="52"/>
      <c r="Q141" s="52"/>
      <c r="R141" s="52"/>
      <c r="S141" s="52"/>
    </row>
    <row r="142" spans="2:19" ht="15" x14ac:dyDescent="0.25">
      <c r="B142" s="32"/>
      <c r="C142" s="32"/>
      <c r="D142" s="32"/>
      <c r="P142" s="52"/>
      <c r="Q142" s="52"/>
      <c r="R142" s="52"/>
      <c r="S142" s="52"/>
    </row>
    <row r="143" spans="2:19" ht="15" x14ac:dyDescent="0.25">
      <c r="B143" s="32"/>
      <c r="C143" s="32"/>
      <c r="D143" s="32"/>
      <c r="P143" s="52"/>
      <c r="Q143" s="52"/>
      <c r="R143" s="52"/>
      <c r="S143" s="52"/>
    </row>
    <row r="144" spans="2:19" ht="15" x14ac:dyDescent="0.25">
      <c r="B144" s="32"/>
      <c r="C144" s="32"/>
      <c r="D144" s="32"/>
      <c r="P144" s="52"/>
      <c r="Q144" s="52"/>
      <c r="R144" s="52"/>
      <c r="S144" s="52"/>
    </row>
    <row r="145" spans="2:20" ht="15" x14ac:dyDescent="0.25">
      <c r="B145" s="32"/>
      <c r="C145" s="32"/>
      <c r="D145" s="32"/>
      <c r="P145" s="52"/>
      <c r="Q145" s="52"/>
      <c r="R145" s="52"/>
      <c r="S145" s="52"/>
    </row>
    <row r="146" spans="2:20" ht="15" x14ac:dyDescent="0.25">
      <c r="B146" s="32"/>
      <c r="C146" s="32"/>
      <c r="D146" s="32"/>
      <c r="P146" s="52"/>
      <c r="Q146" s="52"/>
      <c r="R146" s="52"/>
      <c r="S146" s="52"/>
    </row>
    <row r="147" spans="2:20" ht="15" x14ac:dyDescent="0.25">
      <c r="B147" s="32"/>
      <c r="C147" s="32"/>
      <c r="D147" s="32"/>
      <c r="P147" s="52"/>
      <c r="Q147" s="52"/>
      <c r="R147" s="52"/>
      <c r="S147" s="52"/>
    </row>
    <row r="148" spans="2:20" ht="15" x14ac:dyDescent="0.25">
      <c r="B148" s="32"/>
      <c r="C148" s="32"/>
      <c r="D148" s="32"/>
      <c r="P148" s="52"/>
      <c r="Q148" s="52"/>
      <c r="R148" s="52"/>
      <c r="S148" s="52"/>
    </row>
    <row r="149" spans="2:20" ht="15" x14ac:dyDescent="0.25">
      <c r="B149" s="32"/>
      <c r="C149" s="32"/>
      <c r="D149" s="32"/>
      <c r="P149" s="52"/>
      <c r="Q149" s="52"/>
      <c r="R149" s="52"/>
      <c r="S149" s="52"/>
    </row>
    <row r="150" spans="2:20" ht="15" x14ac:dyDescent="0.25">
      <c r="B150" s="32"/>
      <c r="C150" s="32"/>
      <c r="D150" s="32"/>
      <c r="P150" s="52"/>
      <c r="Q150" s="52"/>
      <c r="R150" s="52"/>
      <c r="S150" s="52"/>
    </row>
    <row r="151" spans="2:20" ht="15" x14ac:dyDescent="0.25">
      <c r="B151" s="32"/>
      <c r="C151" s="32"/>
      <c r="D151" s="32"/>
      <c r="P151" s="52"/>
      <c r="Q151" s="52"/>
      <c r="R151" s="52"/>
      <c r="S151" s="52"/>
    </row>
    <row r="152" spans="2:20" ht="15" x14ac:dyDescent="0.25">
      <c r="B152" s="32"/>
      <c r="C152" s="32"/>
      <c r="D152" s="32"/>
      <c r="P152" s="52"/>
      <c r="Q152" s="52"/>
      <c r="R152" s="52"/>
      <c r="S152" s="52"/>
    </row>
    <row r="153" spans="2:20" ht="15" x14ac:dyDescent="0.25">
      <c r="B153" s="32"/>
      <c r="C153" s="32"/>
      <c r="D153" s="32"/>
    </row>
    <row r="154" spans="2:20" ht="15" x14ac:dyDescent="0.25">
      <c r="B154" s="32"/>
      <c r="C154" s="32"/>
      <c r="D154" s="32"/>
    </row>
    <row r="155" spans="2:20" ht="15" x14ac:dyDescent="0.25">
      <c r="B155" s="32"/>
      <c r="C155" s="32"/>
      <c r="D155" s="32"/>
    </row>
    <row r="156" spans="2:20" ht="12.75" x14ac:dyDescent="0.2">
      <c r="B156" s="32"/>
      <c r="C156" s="32"/>
      <c r="D156" s="32"/>
      <c r="T156" s="32"/>
    </row>
    <row r="157" spans="2:20" ht="12.75" x14ac:dyDescent="0.2">
      <c r="B157" s="32"/>
      <c r="C157" s="32"/>
      <c r="D157" s="32"/>
      <c r="T157" s="32"/>
    </row>
    <row r="158" spans="2:20" ht="12.75" x14ac:dyDescent="0.2">
      <c r="B158" s="32"/>
      <c r="C158" s="32"/>
      <c r="D158" s="32"/>
      <c r="T158" s="32"/>
    </row>
    <row r="159" spans="2:20" ht="12.75" x14ac:dyDescent="0.2">
      <c r="B159" s="32"/>
      <c r="C159" s="32"/>
      <c r="D159" s="32"/>
      <c r="T159" s="32"/>
    </row>
    <row r="160" spans="2:20" ht="12.75" x14ac:dyDescent="0.2">
      <c r="B160" s="32"/>
      <c r="C160" s="32"/>
      <c r="D160" s="32"/>
      <c r="T160" s="32"/>
    </row>
    <row r="161" spans="107:107" s="32" customFormat="1" ht="12.75" x14ac:dyDescent="0.2">
      <c r="DC161" s="439"/>
    </row>
    <row r="162" spans="107:107" s="32" customFormat="1" ht="12.75" x14ac:dyDescent="0.2">
      <c r="DC162" s="439"/>
    </row>
    <row r="163" spans="107:107" s="32" customFormat="1" ht="12.75" x14ac:dyDescent="0.2">
      <c r="DC163" s="439"/>
    </row>
    <row r="164" spans="107:107" s="32" customFormat="1" ht="12.75" x14ac:dyDescent="0.2">
      <c r="DC164" s="439"/>
    </row>
    <row r="165" spans="107:107" s="32" customFormat="1" ht="12.75" x14ac:dyDescent="0.2">
      <c r="DC165" s="439"/>
    </row>
    <row r="166" spans="107:107" s="32" customFormat="1" ht="12.75" x14ac:dyDescent="0.2">
      <c r="DC166" s="439"/>
    </row>
    <row r="167" spans="107:107" s="32" customFormat="1" ht="12.75" x14ac:dyDescent="0.2">
      <c r="DC167" s="439"/>
    </row>
    <row r="168" spans="107:107" s="32" customFormat="1" ht="12.75" x14ac:dyDescent="0.2">
      <c r="DC168" s="439"/>
    </row>
    <row r="169" spans="107:107" s="32" customFormat="1" ht="12.75" x14ac:dyDescent="0.2">
      <c r="DC169" s="439"/>
    </row>
    <row r="170" spans="107:107" s="32" customFormat="1" ht="12.75" x14ac:dyDescent="0.2">
      <c r="DC170" s="439"/>
    </row>
    <row r="171" spans="107:107" s="32" customFormat="1" ht="12.75" x14ac:dyDescent="0.2">
      <c r="DC171" s="439"/>
    </row>
    <row r="172" spans="107:107" s="32" customFormat="1" ht="12.75" x14ac:dyDescent="0.2">
      <c r="DC172" s="439"/>
    </row>
    <row r="173" spans="107:107" s="32" customFormat="1" ht="12.75" x14ac:dyDescent="0.2">
      <c r="DC173" s="439"/>
    </row>
    <row r="174" spans="107:107" s="32" customFormat="1" ht="12.75" x14ac:dyDescent="0.2">
      <c r="DC174" s="439"/>
    </row>
    <row r="175" spans="107:107" s="32" customFormat="1" ht="12.75" x14ac:dyDescent="0.2">
      <c r="DC175" s="439"/>
    </row>
    <row r="176" spans="107:107" s="32" customFormat="1" ht="12.75" x14ac:dyDescent="0.2">
      <c r="DC176" s="439"/>
    </row>
    <row r="177" spans="107:107" s="32" customFormat="1" ht="12.75" x14ac:dyDescent="0.2">
      <c r="DC177" s="439"/>
    </row>
    <row r="178" spans="107:107" s="32" customFormat="1" ht="12.75" x14ac:dyDescent="0.2">
      <c r="DC178" s="439"/>
    </row>
    <row r="179" spans="107:107" s="32" customFormat="1" ht="12.75" x14ac:dyDescent="0.2">
      <c r="DC179" s="439"/>
    </row>
    <row r="180" spans="107:107" s="32" customFormat="1" ht="12.75" x14ac:dyDescent="0.2">
      <c r="DC180" s="439"/>
    </row>
    <row r="181" spans="107:107" s="32" customFormat="1" ht="12.75" x14ac:dyDescent="0.2">
      <c r="DC181" s="439"/>
    </row>
    <row r="182" spans="107:107" s="32" customFormat="1" ht="12.75" x14ac:dyDescent="0.2">
      <c r="DC182" s="439"/>
    </row>
    <row r="183" spans="107:107" s="32" customFormat="1" ht="12.75" x14ac:dyDescent="0.2">
      <c r="DC183" s="439"/>
    </row>
    <row r="184" spans="107:107" s="32" customFormat="1" ht="12.75" x14ac:dyDescent="0.2">
      <c r="DC184" s="439"/>
    </row>
    <row r="185" spans="107:107" s="32" customFormat="1" ht="12.75" x14ac:dyDescent="0.2">
      <c r="DC185" s="439"/>
    </row>
    <row r="186" spans="107:107" s="32" customFormat="1" ht="12.75" x14ac:dyDescent="0.2">
      <c r="DC186" s="439"/>
    </row>
    <row r="187" spans="107:107" s="32" customFormat="1" ht="12.75" x14ac:dyDescent="0.2">
      <c r="DC187" s="439"/>
    </row>
    <row r="188" spans="107:107" s="32" customFormat="1" ht="12.75" x14ac:dyDescent="0.2">
      <c r="DC188" s="439"/>
    </row>
    <row r="189" spans="107:107" s="32" customFormat="1" ht="12.75" x14ac:dyDescent="0.2">
      <c r="DC189" s="439"/>
    </row>
    <row r="190" spans="107:107" s="32" customFormat="1" ht="12.75" x14ac:dyDescent="0.2">
      <c r="DC190" s="439"/>
    </row>
    <row r="191" spans="107:107" s="32" customFormat="1" ht="12.75" x14ac:dyDescent="0.2">
      <c r="DC191" s="439"/>
    </row>
    <row r="192" spans="107:107" s="32" customFormat="1" ht="12.75" x14ac:dyDescent="0.2">
      <c r="DC192" s="439"/>
    </row>
    <row r="193" spans="107:107" s="32" customFormat="1" ht="12.75" x14ac:dyDescent="0.2">
      <c r="DC193" s="439"/>
    </row>
    <row r="194" spans="107:107" s="32" customFormat="1" ht="12.75" x14ac:dyDescent="0.2">
      <c r="DC194" s="439"/>
    </row>
    <row r="195" spans="107:107" s="32" customFormat="1" ht="12.75" x14ac:dyDescent="0.2">
      <c r="DC195" s="439"/>
    </row>
    <row r="196" spans="107:107" s="32" customFormat="1" ht="12.75" x14ac:dyDescent="0.2">
      <c r="DC196" s="439"/>
    </row>
    <row r="197" spans="107:107" s="32" customFormat="1" ht="12.75" x14ac:dyDescent="0.2">
      <c r="DC197" s="439"/>
    </row>
    <row r="198" spans="107:107" s="32" customFormat="1" ht="12.75" x14ac:dyDescent="0.2">
      <c r="DC198" s="439"/>
    </row>
    <row r="199" spans="107:107" s="32" customFormat="1" ht="12.75" x14ac:dyDescent="0.2">
      <c r="DC199" s="439"/>
    </row>
    <row r="200" spans="107:107" s="32" customFormat="1" ht="12.75" x14ac:dyDescent="0.2">
      <c r="DC200" s="439"/>
    </row>
    <row r="201" spans="107:107" s="32" customFormat="1" ht="12.75" x14ac:dyDescent="0.2">
      <c r="DC201" s="439"/>
    </row>
    <row r="202" spans="107:107" s="32" customFormat="1" ht="12.75" x14ac:dyDescent="0.2">
      <c r="DC202" s="439"/>
    </row>
    <row r="203" spans="107:107" s="32" customFormat="1" ht="12.75" x14ac:dyDescent="0.2">
      <c r="DC203" s="439"/>
    </row>
    <row r="204" spans="107:107" s="32" customFormat="1" ht="12.75" x14ac:dyDescent="0.2">
      <c r="DC204" s="439"/>
    </row>
    <row r="205" spans="107:107" s="32" customFormat="1" ht="12.75" x14ac:dyDescent="0.2">
      <c r="DC205" s="439"/>
    </row>
    <row r="206" spans="107:107" s="32" customFormat="1" ht="12.75" x14ac:dyDescent="0.2">
      <c r="DC206" s="439"/>
    </row>
    <row r="207" spans="107:107" s="32" customFormat="1" ht="12.75" x14ac:dyDescent="0.2">
      <c r="DC207" s="439"/>
    </row>
    <row r="208" spans="107:107" s="32" customFormat="1" ht="12.75" x14ac:dyDescent="0.2">
      <c r="DC208" s="439"/>
    </row>
    <row r="209" spans="107:107" s="32" customFormat="1" ht="12.75" x14ac:dyDescent="0.2">
      <c r="DC209" s="439"/>
    </row>
    <row r="210" spans="107:107" s="32" customFormat="1" ht="12.75" x14ac:dyDescent="0.2">
      <c r="DC210" s="439"/>
    </row>
    <row r="211" spans="107:107" s="32" customFormat="1" ht="12.75" x14ac:dyDescent="0.2">
      <c r="DC211" s="439"/>
    </row>
    <row r="212" spans="107:107" s="32" customFormat="1" ht="12.75" x14ac:dyDescent="0.2">
      <c r="DC212" s="439"/>
    </row>
    <row r="213" spans="107:107" s="32" customFormat="1" ht="12.75" x14ac:dyDescent="0.2">
      <c r="DC213" s="439"/>
    </row>
    <row r="214" spans="107:107" s="32" customFormat="1" ht="12.75" x14ac:dyDescent="0.2">
      <c r="DC214" s="439"/>
    </row>
    <row r="215" spans="107:107" s="32" customFormat="1" ht="12.75" x14ac:dyDescent="0.2">
      <c r="DC215" s="439"/>
    </row>
    <row r="216" spans="107:107" s="32" customFormat="1" ht="12.75" x14ac:dyDescent="0.2">
      <c r="DC216" s="439"/>
    </row>
    <row r="217" spans="107:107" s="32" customFormat="1" ht="12.75" x14ac:dyDescent="0.2">
      <c r="DC217" s="439"/>
    </row>
    <row r="218" spans="107:107" s="32" customFormat="1" ht="12.75" x14ac:dyDescent="0.2">
      <c r="DC218" s="439"/>
    </row>
    <row r="219" spans="107:107" s="32" customFormat="1" ht="12.75" x14ac:dyDescent="0.2">
      <c r="DC219" s="439"/>
    </row>
    <row r="220" spans="107:107" s="32" customFormat="1" ht="12.75" x14ac:dyDescent="0.2">
      <c r="DC220" s="439"/>
    </row>
    <row r="221" spans="107:107" s="32" customFormat="1" ht="12.75" x14ac:dyDescent="0.2">
      <c r="DC221" s="439"/>
    </row>
    <row r="222" spans="107:107" s="32" customFormat="1" ht="12.75" x14ac:dyDescent="0.2">
      <c r="DC222" s="439"/>
    </row>
    <row r="223" spans="107:107" s="32" customFormat="1" ht="12.75" x14ac:dyDescent="0.2">
      <c r="DC223" s="439"/>
    </row>
    <row r="224" spans="107:107" s="32" customFormat="1" ht="12.75" x14ac:dyDescent="0.2">
      <c r="DC224" s="439"/>
    </row>
    <row r="225" spans="107:107" s="32" customFormat="1" ht="12.75" x14ac:dyDescent="0.2">
      <c r="DC225" s="439"/>
    </row>
    <row r="226" spans="107:107" s="32" customFormat="1" ht="12.75" x14ac:dyDescent="0.2">
      <c r="DC226" s="439"/>
    </row>
    <row r="227" spans="107:107" s="32" customFormat="1" ht="12.75" x14ac:dyDescent="0.2">
      <c r="DC227" s="439"/>
    </row>
    <row r="228" spans="107:107" s="32" customFormat="1" ht="12.75" x14ac:dyDescent="0.2">
      <c r="DC228" s="439"/>
    </row>
    <row r="229" spans="107:107" s="32" customFormat="1" ht="12.75" x14ac:dyDescent="0.2">
      <c r="DC229" s="439"/>
    </row>
    <row r="230" spans="107:107" s="32" customFormat="1" ht="12.75" x14ac:dyDescent="0.2">
      <c r="DC230" s="439"/>
    </row>
    <row r="231" spans="107:107" s="32" customFormat="1" ht="12.75" x14ac:dyDescent="0.2">
      <c r="DC231" s="439"/>
    </row>
    <row r="232" spans="107:107" s="32" customFormat="1" ht="12.75" x14ac:dyDescent="0.2">
      <c r="DC232" s="439"/>
    </row>
    <row r="233" spans="107:107" s="32" customFormat="1" ht="12.75" x14ac:dyDescent="0.2">
      <c r="DC233" s="439"/>
    </row>
    <row r="234" spans="107:107" s="32" customFormat="1" ht="12.75" x14ac:dyDescent="0.2">
      <c r="DC234" s="439"/>
    </row>
    <row r="235" spans="107:107" s="32" customFormat="1" ht="12.75" x14ac:dyDescent="0.2">
      <c r="DC235" s="439"/>
    </row>
    <row r="236" spans="107:107" s="32" customFormat="1" ht="12.75" x14ac:dyDescent="0.2">
      <c r="DC236" s="439"/>
    </row>
    <row r="237" spans="107:107" s="32" customFormat="1" ht="12.75" x14ac:dyDescent="0.2">
      <c r="DC237" s="439"/>
    </row>
    <row r="238" spans="107:107" s="32" customFormat="1" ht="12.75" x14ac:dyDescent="0.2">
      <c r="DC238" s="439"/>
    </row>
    <row r="239" spans="107:107" s="32" customFormat="1" ht="12.75" x14ac:dyDescent="0.2">
      <c r="DC239" s="439"/>
    </row>
    <row r="240" spans="107:107" s="32" customFormat="1" ht="12.75" x14ac:dyDescent="0.2">
      <c r="DC240" s="439"/>
    </row>
    <row r="241" spans="107:107" s="32" customFormat="1" ht="12.75" x14ac:dyDescent="0.2">
      <c r="DC241" s="439"/>
    </row>
    <row r="242" spans="107:107" s="32" customFormat="1" ht="12.75" x14ac:dyDescent="0.2">
      <c r="DC242" s="439"/>
    </row>
    <row r="243" spans="107:107" s="32" customFormat="1" ht="12.75" x14ac:dyDescent="0.2">
      <c r="DC243" s="439"/>
    </row>
    <row r="244" spans="107:107" s="32" customFormat="1" ht="12.75" x14ac:dyDescent="0.2">
      <c r="DC244" s="439"/>
    </row>
    <row r="245" spans="107:107" s="32" customFormat="1" ht="12.75" x14ac:dyDescent="0.2">
      <c r="DC245" s="439"/>
    </row>
    <row r="246" spans="107:107" s="32" customFormat="1" ht="12.75" x14ac:dyDescent="0.2">
      <c r="DC246" s="439"/>
    </row>
    <row r="247" spans="107:107" s="32" customFormat="1" ht="12.75" x14ac:dyDescent="0.2">
      <c r="DC247" s="439"/>
    </row>
    <row r="248" spans="107:107" s="32" customFormat="1" ht="12.75" x14ac:dyDescent="0.2">
      <c r="DC248" s="439"/>
    </row>
    <row r="249" spans="107:107" s="32" customFormat="1" ht="12.75" x14ac:dyDescent="0.2">
      <c r="DC249" s="439"/>
    </row>
    <row r="250" spans="107:107" s="32" customFormat="1" ht="12.75" x14ac:dyDescent="0.2">
      <c r="DC250" s="439"/>
    </row>
    <row r="251" spans="107:107" s="32" customFormat="1" ht="12.75" x14ac:dyDescent="0.2">
      <c r="DC251" s="439"/>
    </row>
    <row r="252" spans="107:107" s="32" customFormat="1" ht="12.75" x14ac:dyDescent="0.2">
      <c r="DC252" s="439"/>
    </row>
    <row r="253" spans="107:107" s="32" customFormat="1" ht="12.75" x14ac:dyDescent="0.2">
      <c r="DC253" s="439"/>
    </row>
    <row r="254" spans="107:107" s="32" customFormat="1" ht="12.75" x14ac:dyDescent="0.2">
      <c r="DC254" s="439"/>
    </row>
    <row r="255" spans="107:107" s="32" customFormat="1" ht="12.75" x14ac:dyDescent="0.2">
      <c r="DC255" s="439"/>
    </row>
    <row r="256" spans="107:107" s="32" customFormat="1" ht="12.75" x14ac:dyDescent="0.2">
      <c r="DC256" s="439"/>
    </row>
    <row r="257" spans="107:107" s="32" customFormat="1" ht="12.75" x14ac:dyDescent="0.2">
      <c r="DC257" s="439"/>
    </row>
    <row r="258" spans="107:107" s="32" customFormat="1" ht="12.75" x14ac:dyDescent="0.2">
      <c r="DC258" s="439"/>
    </row>
    <row r="259" spans="107:107" s="32" customFormat="1" ht="12.75" x14ac:dyDescent="0.2">
      <c r="DC259" s="439"/>
    </row>
    <row r="260" spans="107:107" s="32" customFormat="1" ht="12.75" x14ac:dyDescent="0.2">
      <c r="DC260" s="439"/>
    </row>
    <row r="261" spans="107:107" s="32" customFormat="1" ht="12.75" x14ac:dyDescent="0.2">
      <c r="DC261" s="439"/>
    </row>
    <row r="262" spans="107:107" s="32" customFormat="1" ht="12.75" x14ac:dyDescent="0.2">
      <c r="DC262" s="439"/>
    </row>
    <row r="263" spans="107:107" s="32" customFormat="1" ht="12.75" x14ac:dyDescent="0.2">
      <c r="DC263" s="439"/>
    </row>
    <row r="264" spans="107:107" s="32" customFormat="1" ht="12.75" x14ac:dyDescent="0.2">
      <c r="DC264" s="439"/>
    </row>
    <row r="265" spans="107:107" s="32" customFormat="1" ht="12.75" x14ac:dyDescent="0.2">
      <c r="DC265" s="439"/>
    </row>
    <row r="266" spans="107:107" s="32" customFormat="1" ht="12.75" x14ac:dyDescent="0.2">
      <c r="DC266" s="439"/>
    </row>
    <row r="267" spans="107:107" s="32" customFormat="1" ht="12.75" x14ac:dyDescent="0.2">
      <c r="DC267" s="439"/>
    </row>
    <row r="268" spans="107:107" s="32" customFormat="1" ht="12.75" x14ac:dyDescent="0.2">
      <c r="DC268" s="439"/>
    </row>
    <row r="269" spans="107:107" s="32" customFormat="1" ht="12.75" x14ac:dyDescent="0.2">
      <c r="DC269" s="439"/>
    </row>
    <row r="270" spans="107:107" s="32" customFormat="1" ht="12.75" x14ac:dyDescent="0.2">
      <c r="DC270" s="439"/>
    </row>
    <row r="271" spans="107:107" s="32" customFormat="1" ht="12.75" x14ac:dyDescent="0.2">
      <c r="DC271" s="439"/>
    </row>
    <row r="272" spans="107:107" s="32" customFormat="1" ht="12.75" x14ac:dyDescent="0.2">
      <c r="DC272" s="439"/>
    </row>
    <row r="273" spans="107:107" s="32" customFormat="1" ht="12.75" x14ac:dyDescent="0.2">
      <c r="DC273" s="439"/>
    </row>
    <row r="274" spans="107:107" s="32" customFormat="1" ht="12.75" x14ac:dyDescent="0.2">
      <c r="DC274" s="439"/>
    </row>
    <row r="275" spans="107:107" s="32" customFormat="1" ht="12.75" x14ac:dyDescent="0.2">
      <c r="DC275" s="439"/>
    </row>
    <row r="276" spans="107:107" s="32" customFormat="1" ht="12.75" x14ac:dyDescent="0.2">
      <c r="DC276" s="439"/>
    </row>
    <row r="277" spans="107:107" s="32" customFormat="1" ht="12.75" x14ac:dyDescent="0.2">
      <c r="DC277" s="439"/>
    </row>
    <row r="278" spans="107:107" s="32" customFormat="1" ht="12.75" x14ac:dyDescent="0.2">
      <c r="DC278" s="439"/>
    </row>
    <row r="279" spans="107:107" s="32" customFormat="1" ht="12.75" x14ac:dyDescent="0.2">
      <c r="DC279" s="439"/>
    </row>
    <row r="280" spans="107:107" s="32" customFormat="1" ht="12.75" x14ac:dyDescent="0.2">
      <c r="DC280" s="439"/>
    </row>
    <row r="281" spans="107:107" s="32" customFormat="1" ht="12.75" x14ac:dyDescent="0.2">
      <c r="DC281" s="439"/>
    </row>
    <row r="282" spans="107:107" s="32" customFormat="1" ht="12.75" x14ac:dyDescent="0.2">
      <c r="DC282" s="439"/>
    </row>
    <row r="283" spans="107:107" s="32" customFormat="1" ht="12.75" x14ac:dyDescent="0.2">
      <c r="DC283" s="439"/>
    </row>
    <row r="284" spans="107:107" s="32" customFormat="1" ht="12.75" x14ac:dyDescent="0.2">
      <c r="DC284" s="439"/>
    </row>
    <row r="285" spans="107:107" s="32" customFormat="1" ht="12.75" x14ac:dyDescent="0.2">
      <c r="DC285" s="439"/>
    </row>
    <row r="286" spans="107:107" s="32" customFormat="1" ht="12.75" x14ac:dyDescent="0.2">
      <c r="DC286" s="439"/>
    </row>
    <row r="287" spans="107:107" s="32" customFormat="1" ht="12.75" x14ac:dyDescent="0.2">
      <c r="DC287" s="439"/>
    </row>
    <row r="288" spans="107:107" s="32" customFormat="1" ht="12.75" x14ac:dyDescent="0.2">
      <c r="DC288" s="439"/>
    </row>
    <row r="289" spans="107:107" s="32" customFormat="1" ht="12.75" x14ac:dyDescent="0.2">
      <c r="DC289" s="439"/>
    </row>
    <row r="290" spans="107:107" s="32" customFormat="1" ht="12.75" x14ac:dyDescent="0.2">
      <c r="DC290" s="439"/>
    </row>
    <row r="291" spans="107:107" s="32" customFormat="1" ht="12.75" x14ac:dyDescent="0.2">
      <c r="DC291" s="439"/>
    </row>
    <row r="292" spans="107:107" s="32" customFormat="1" ht="12.75" x14ac:dyDescent="0.2">
      <c r="DC292" s="439"/>
    </row>
    <row r="293" spans="107:107" s="32" customFormat="1" ht="12.75" x14ac:dyDescent="0.2">
      <c r="DC293" s="439"/>
    </row>
    <row r="294" spans="107:107" s="32" customFormat="1" ht="12.75" x14ac:dyDescent="0.2">
      <c r="DC294" s="439"/>
    </row>
    <row r="295" spans="107:107" s="32" customFormat="1" ht="12.75" x14ac:dyDescent="0.2">
      <c r="DC295" s="439"/>
    </row>
    <row r="296" spans="107:107" s="32" customFormat="1" ht="12.75" x14ac:dyDescent="0.2">
      <c r="DC296" s="439"/>
    </row>
    <row r="297" spans="107:107" s="32" customFormat="1" ht="12.75" x14ac:dyDescent="0.2">
      <c r="DC297" s="439"/>
    </row>
    <row r="298" spans="107:107" s="32" customFormat="1" ht="12.75" x14ac:dyDescent="0.2">
      <c r="DC298" s="439"/>
    </row>
    <row r="299" spans="107:107" s="32" customFormat="1" ht="12.75" x14ac:dyDescent="0.2">
      <c r="DC299" s="439"/>
    </row>
    <row r="300" spans="107:107" s="32" customFormat="1" ht="12.75" x14ac:dyDescent="0.2">
      <c r="DC300" s="439"/>
    </row>
    <row r="301" spans="107:107" s="32" customFormat="1" ht="12.75" x14ac:dyDescent="0.2">
      <c r="DC301" s="439"/>
    </row>
    <row r="302" spans="107:107" s="32" customFormat="1" ht="12.75" x14ac:dyDescent="0.2">
      <c r="DC302" s="439"/>
    </row>
    <row r="303" spans="107:107" s="32" customFormat="1" ht="12.75" x14ac:dyDescent="0.2">
      <c r="DC303" s="439"/>
    </row>
    <row r="304" spans="107:107" s="32" customFormat="1" ht="12.75" x14ac:dyDescent="0.2">
      <c r="DC304" s="439"/>
    </row>
    <row r="305" spans="107:107" s="32" customFormat="1" ht="12.75" x14ac:dyDescent="0.2">
      <c r="DC305" s="439"/>
    </row>
    <row r="306" spans="107:107" s="32" customFormat="1" ht="12.75" x14ac:dyDescent="0.2">
      <c r="DC306" s="439"/>
    </row>
    <row r="307" spans="107:107" s="32" customFormat="1" ht="12.75" x14ac:dyDescent="0.2">
      <c r="DC307" s="439"/>
    </row>
    <row r="308" spans="107:107" s="32" customFormat="1" ht="12.75" x14ac:dyDescent="0.2">
      <c r="DC308" s="439"/>
    </row>
    <row r="309" spans="107:107" s="32" customFormat="1" ht="12.75" x14ac:dyDescent="0.2">
      <c r="DC309" s="439"/>
    </row>
    <row r="310" spans="107:107" s="32" customFormat="1" ht="12.75" x14ac:dyDescent="0.2">
      <c r="DC310" s="439"/>
    </row>
    <row r="311" spans="107:107" s="32" customFormat="1" ht="12.75" x14ac:dyDescent="0.2">
      <c r="DC311" s="439"/>
    </row>
    <row r="312" spans="107:107" s="32" customFormat="1" ht="12.75" x14ac:dyDescent="0.2">
      <c r="DC312" s="439"/>
    </row>
    <row r="313" spans="107:107" s="32" customFormat="1" ht="12.75" x14ac:dyDescent="0.2">
      <c r="DC313" s="439"/>
    </row>
    <row r="314" spans="107:107" s="32" customFormat="1" ht="12.75" x14ac:dyDescent="0.2">
      <c r="DC314" s="439"/>
    </row>
    <row r="315" spans="107:107" s="32" customFormat="1" ht="12.75" x14ac:dyDescent="0.2">
      <c r="DC315" s="439"/>
    </row>
    <row r="316" spans="107:107" s="32" customFormat="1" ht="12.75" x14ac:dyDescent="0.2">
      <c r="DC316" s="439"/>
    </row>
    <row r="317" spans="107:107" s="32" customFormat="1" ht="12.75" x14ac:dyDescent="0.2">
      <c r="DC317" s="439"/>
    </row>
    <row r="318" spans="107:107" s="32" customFormat="1" ht="12.75" x14ac:dyDescent="0.2">
      <c r="DC318" s="439"/>
    </row>
    <row r="319" spans="107:107" s="32" customFormat="1" ht="12.75" x14ac:dyDescent="0.2">
      <c r="DC319" s="439"/>
    </row>
    <row r="320" spans="107:107" s="32" customFormat="1" ht="12.75" x14ac:dyDescent="0.2">
      <c r="DC320" s="439"/>
    </row>
    <row r="321" spans="107:107" s="32" customFormat="1" ht="12.75" x14ac:dyDescent="0.2">
      <c r="DC321" s="439"/>
    </row>
    <row r="322" spans="107:107" s="32" customFormat="1" ht="12.75" x14ac:dyDescent="0.2">
      <c r="DC322" s="439"/>
    </row>
    <row r="323" spans="107:107" s="32" customFormat="1" ht="12.75" x14ac:dyDescent="0.2">
      <c r="DC323" s="439"/>
    </row>
    <row r="324" spans="107:107" s="32" customFormat="1" ht="12.75" x14ac:dyDescent="0.2">
      <c r="DC324" s="439"/>
    </row>
    <row r="325" spans="107:107" s="32" customFormat="1" ht="12.75" x14ac:dyDescent="0.2">
      <c r="DC325" s="439"/>
    </row>
    <row r="326" spans="107:107" s="32" customFormat="1" ht="12.75" x14ac:dyDescent="0.2">
      <c r="DC326" s="439"/>
    </row>
    <row r="327" spans="107:107" s="32" customFormat="1" ht="12.75" x14ac:dyDescent="0.2">
      <c r="DC327" s="439"/>
    </row>
    <row r="328" spans="107:107" s="32" customFormat="1" ht="12.75" x14ac:dyDescent="0.2">
      <c r="DC328" s="439"/>
    </row>
    <row r="329" spans="107:107" s="32" customFormat="1" ht="12.75" x14ac:dyDescent="0.2">
      <c r="DC329" s="439"/>
    </row>
    <row r="330" spans="107:107" s="32" customFormat="1" ht="12.75" x14ac:dyDescent="0.2">
      <c r="DC330" s="439"/>
    </row>
    <row r="331" spans="107:107" s="32" customFormat="1" ht="12.75" x14ac:dyDescent="0.2">
      <c r="DC331" s="439"/>
    </row>
    <row r="332" spans="107:107" s="32" customFormat="1" ht="12.75" x14ac:dyDescent="0.2">
      <c r="DC332" s="439"/>
    </row>
    <row r="333" spans="107:107" s="32" customFormat="1" ht="12.75" x14ac:dyDescent="0.2">
      <c r="DC333" s="439"/>
    </row>
    <row r="334" spans="107:107" s="32" customFormat="1" ht="12.75" x14ac:dyDescent="0.2">
      <c r="DC334" s="439"/>
    </row>
    <row r="335" spans="107:107" s="32" customFormat="1" ht="12.75" x14ac:dyDescent="0.2">
      <c r="DC335" s="439"/>
    </row>
    <row r="336" spans="107:107" s="32" customFormat="1" ht="12.75" x14ac:dyDescent="0.2">
      <c r="DC336" s="439"/>
    </row>
    <row r="337" spans="107:107" s="32" customFormat="1" ht="12.75" x14ac:dyDescent="0.2">
      <c r="DC337" s="439"/>
    </row>
    <row r="338" spans="107:107" s="32" customFormat="1" ht="12.75" x14ac:dyDescent="0.2">
      <c r="DC338" s="439"/>
    </row>
    <row r="339" spans="107:107" s="32" customFormat="1" ht="12.75" x14ac:dyDescent="0.2">
      <c r="DC339" s="439"/>
    </row>
    <row r="340" spans="107:107" s="32" customFormat="1" ht="12.75" x14ac:dyDescent="0.2">
      <c r="DC340" s="439"/>
    </row>
    <row r="341" spans="107:107" s="32" customFormat="1" ht="12.75" x14ac:dyDescent="0.2">
      <c r="DC341" s="439"/>
    </row>
    <row r="342" spans="107:107" s="32" customFormat="1" ht="12.75" x14ac:dyDescent="0.2">
      <c r="DC342" s="439"/>
    </row>
    <row r="343" spans="107:107" s="32" customFormat="1" ht="12.75" x14ac:dyDescent="0.2">
      <c r="DC343" s="439"/>
    </row>
    <row r="344" spans="107:107" s="32" customFormat="1" ht="12.75" x14ac:dyDescent="0.2">
      <c r="DC344" s="439"/>
    </row>
    <row r="345" spans="107:107" s="32" customFormat="1" ht="12.75" x14ac:dyDescent="0.2">
      <c r="DC345" s="439"/>
    </row>
    <row r="346" spans="107:107" s="32" customFormat="1" ht="12.75" x14ac:dyDescent="0.2">
      <c r="DC346" s="439"/>
    </row>
    <row r="347" spans="107:107" s="32" customFormat="1" ht="12.75" x14ac:dyDescent="0.2">
      <c r="DC347" s="439"/>
    </row>
    <row r="348" spans="107:107" s="32" customFormat="1" ht="12.75" x14ac:dyDescent="0.2">
      <c r="DC348" s="439"/>
    </row>
    <row r="349" spans="107:107" s="32" customFormat="1" ht="12.75" x14ac:dyDescent="0.2">
      <c r="DC349" s="439"/>
    </row>
    <row r="350" spans="107:107" s="32" customFormat="1" ht="12.75" x14ac:dyDescent="0.2">
      <c r="DC350" s="439"/>
    </row>
    <row r="351" spans="107:107" s="32" customFormat="1" ht="12.75" x14ac:dyDescent="0.2">
      <c r="DC351" s="439"/>
    </row>
    <row r="352" spans="107:107" s="32" customFormat="1" ht="12.75" x14ac:dyDescent="0.2">
      <c r="DC352" s="439"/>
    </row>
    <row r="353" spans="107:107" s="32" customFormat="1" ht="12.75" x14ac:dyDescent="0.2">
      <c r="DC353" s="439"/>
    </row>
    <row r="354" spans="107:107" s="32" customFormat="1" ht="12.75" x14ac:dyDescent="0.2">
      <c r="DC354" s="439"/>
    </row>
    <row r="355" spans="107:107" s="32" customFormat="1" ht="12.75" x14ac:dyDescent="0.2">
      <c r="DC355" s="439"/>
    </row>
    <row r="356" spans="107:107" s="32" customFormat="1" ht="12.75" x14ac:dyDescent="0.2">
      <c r="DC356" s="439"/>
    </row>
    <row r="357" spans="107:107" s="32" customFormat="1" ht="12.75" x14ac:dyDescent="0.2">
      <c r="DC357" s="439"/>
    </row>
    <row r="358" spans="107:107" s="32" customFormat="1" ht="12.75" x14ac:dyDescent="0.2">
      <c r="DC358" s="439"/>
    </row>
    <row r="359" spans="107:107" s="32" customFormat="1" ht="12.75" x14ac:dyDescent="0.2">
      <c r="DC359" s="439"/>
    </row>
    <row r="360" spans="107:107" s="32" customFormat="1" ht="12.75" x14ac:dyDescent="0.2">
      <c r="DC360" s="439"/>
    </row>
    <row r="361" spans="107:107" s="32" customFormat="1" ht="12.75" x14ac:dyDescent="0.2">
      <c r="DC361" s="439"/>
    </row>
    <row r="362" spans="107:107" s="32" customFormat="1" ht="12.75" x14ac:dyDescent="0.2">
      <c r="DC362" s="439"/>
    </row>
    <row r="363" spans="107:107" s="32" customFormat="1" ht="12.75" x14ac:dyDescent="0.2">
      <c r="DC363" s="439"/>
    </row>
    <row r="364" spans="107:107" s="32" customFormat="1" ht="12.75" x14ac:dyDescent="0.2">
      <c r="DC364" s="439"/>
    </row>
    <row r="365" spans="107:107" s="32" customFormat="1" ht="12.75" x14ac:dyDescent="0.2">
      <c r="DC365" s="439"/>
    </row>
    <row r="366" spans="107:107" s="32" customFormat="1" ht="12.75" x14ac:dyDescent="0.2">
      <c r="DC366" s="439"/>
    </row>
    <row r="367" spans="107:107" s="32" customFormat="1" ht="12.75" x14ac:dyDescent="0.2">
      <c r="DC367" s="439"/>
    </row>
    <row r="368" spans="107:107" s="32" customFormat="1" ht="12.75" x14ac:dyDescent="0.2">
      <c r="DC368" s="439"/>
    </row>
    <row r="369" spans="107:107" s="32" customFormat="1" ht="12.75" x14ac:dyDescent="0.2">
      <c r="DC369" s="439"/>
    </row>
    <row r="370" spans="107:107" s="32" customFormat="1" ht="12.75" x14ac:dyDescent="0.2">
      <c r="DC370" s="439"/>
    </row>
    <row r="371" spans="107:107" s="32" customFormat="1" ht="12.75" x14ac:dyDescent="0.2">
      <c r="DC371" s="439"/>
    </row>
    <row r="372" spans="107:107" s="32" customFormat="1" ht="12.75" x14ac:dyDescent="0.2">
      <c r="DC372" s="439"/>
    </row>
    <row r="373" spans="107:107" s="32" customFormat="1" ht="12.75" x14ac:dyDescent="0.2">
      <c r="DC373" s="439"/>
    </row>
    <row r="374" spans="107:107" s="32" customFormat="1" ht="12.75" x14ac:dyDescent="0.2">
      <c r="DC374" s="439"/>
    </row>
    <row r="375" spans="107:107" s="32" customFormat="1" ht="12.75" x14ac:dyDescent="0.2">
      <c r="DC375" s="439"/>
    </row>
    <row r="376" spans="107:107" s="32" customFormat="1" ht="12.75" x14ac:dyDescent="0.2">
      <c r="DC376" s="439"/>
    </row>
    <row r="377" spans="107:107" s="32" customFormat="1" ht="12.75" x14ac:dyDescent="0.2">
      <c r="DC377" s="439"/>
    </row>
    <row r="378" spans="107:107" s="32" customFormat="1" ht="12.75" x14ac:dyDescent="0.2">
      <c r="DC378" s="439"/>
    </row>
    <row r="379" spans="107:107" s="32" customFormat="1" ht="12.75" x14ac:dyDescent="0.2">
      <c r="DC379" s="439"/>
    </row>
    <row r="380" spans="107:107" s="32" customFormat="1" ht="12.75" x14ac:dyDescent="0.2">
      <c r="DC380" s="439"/>
    </row>
    <row r="381" spans="107:107" s="32" customFormat="1" ht="12.75" x14ac:dyDescent="0.2">
      <c r="DC381" s="439"/>
    </row>
    <row r="382" spans="107:107" s="32" customFormat="1" ht="12.75" x14ac:dyDescent="0.2">
      <c r="DC382" s="439"/>
    </row>
    <row r="383" spans="107:107" s="32" customFormat="1" ht="12.75" x14ac:dyDescent="0.2">
      <c r="DC383" s="439"/>
    </row>
    <row r="384" spans="107:107" s="32" customFormat="1" ht="12.75" x14ac:dyDescent="0.2">
      <c r="DC384" s="439"/>
    </row>
    <row r="385" spans="107:107" s="32" customFormat="1" ht="12.75" x14ac:dyDescent="0.2">
      <c r="DC385" s="439"/>
    </row>
    <row r="386" spans="107:107" s="32" customFormat="1" ht="12.75" x14ac:dyDescent="0.2">
      <c r="DC386" s="439"/>
    </row>
    <row r="387" spans="107:107" s="32" customFormat="1" ht="12.75" x14ac:dyDescent="0.2">
      <c r="DC387" s="439"/>
    </row>
    <row r="388" spans="107:107" s="32" customFormat="1" ht="12.75" x14ac:dyDescent="0.2">
      <c r="DC388" s="439"/>
    </row>
    <row r="389" spans="107:107" s="32" customFormat="1" ht="12.75" x14ac:dyDescent="0.2">
      <c r="DC389" s="439"/>
    </row>
    <row r="390" spans="107:107" s="32" customFormat="1" ht="12.75" x14ac:dyDescent="0.2">
      <c r="DC390" s="439"/>
    </row>
    <row r="391" spans="107:107" s="32" customFormat="1" ht="12.75" x14ac:dyDescent="0.2">
      <c r="DC391" s="439"/>
    </row>
    <row r="392" spans="107:107" s="32" customFormat="1" ht="12.75" x14ac:dyDescent="0.2">
      <c r="DC392" s="439"/>
    </row>
    <row r="393" spans="107:107" s="32" customFormat="1" ht="12.75" x14ac:dyDescent="0.2">
      <c r="DC393" s="439"/>
    </row>
    <row r="394" spans="107:107" s="32" customFormat="1" ht="12.75" x14ac:dyDescent="0.2">
      <c r="DC394" s="439"/>
    </row>
    <row r="395" spans="107:107" s="32" customFormat="1" ht="12.75" x14ac:dyDescent="0.2">
      <c r="DC395" s="439"/>
    </row>
    <row r="396" spans="107:107" s="32" customFormat="1" ht="12.75" x14ac:dyDescent="0.2">
      <c r="DC396" s="439"/>
    </row>
    <row r="397" spans="107:107" s="32" customFormat="1" ht="12.75" x14ac:dyDescent="0.2">
      <c r="DC397" s="439"/>
    </row>
    <row r="398" spans="107:107" s="32" customFormat="1" ht="12.75" x14ac:dyDescent="0.2">
      <c r="DC398" s="439"/>
    </row>
    <row r="399" spans="107:107" s="32" customFormat="1" ht="12.75" x14ac:dyDescent="0.2">
      <c r="DC399" s="439"/>
    </row>
    <row r="400" spans="107:107" s="32" customFormat="1" ht="12.75" x14ac:dyDescent="0.2">
      <c r="DC400" s="439"/>
    </row>
    <row r="401" spans="107:107" s="32" customFormat="1" ht="12.75" x14ac:dyDescent="0.2">
      <c r="DC401" s="439"/>
    </row>
    <row r="402" spans="107:107" s="32" customFormat="1" ht="12.75" x14ac:dyDescent="0.2">
      <c r="DC402" s="439"/>
    </row>
    <row r="403" spans="107:107" s="32" customFormat="1" ht="12.75" x14ac:dyDescent="0.2">
      <c r="DC403" s="439"/>
    </row>
    <row r="404" spans="107:107" s="32" customFormat="1" ht="12.75" x14ac:dyDescent="0.2">
      <c r="DC404" s="439"/>
    </row>
    <row r="405" spans="107:107" s="32" customFormat="1" ht="12.75" x14ac:dyDescent="0.2">
      <c r="DC405" s="439"/>
    </row>
    <row r="406" spans="107:107" s="32" customFormat="1" ht="12.75" x14ac:dyDescent="0.2">
      <c r="DC406" s="439"/>
    </row>
    <row r="407" spans="107:107" s="32" customFormat="1" ht="12.75" x14ac:dyDescent="0.2">
      <c r="DC407" s="439"/>
    </row>
    <row r="408" spans="107:107" s="32" customFormat="1" ht="12.75" x14ac:dyDescent="0.2">
      <c r="DC408" s="439"/>
    </row>
    <row r="409" spans="107:107" s="32" customFormat="1" ht="12.75" x14ac:dyDescent="0.2">
      <c r="DC409" s="439"/>
    </row>
    <row r="410" spans="107:107" s="32" customFormat="1" ht="12.75" x14ac:dyDescent="0.2">
      <c r="DC410" s="439"/>
    </row>
    <row r="411" spans="107:107" s="32" customFormat="1" ht="12.75" x14ac:dyDescent="0.2">
      <c r="DC411" s="439"/>
    </row>
    <row r="412" spans="107:107" s="32" customFormat="1" ht="12.75" x14ac:dyDescent="0.2">
      <c r="DC412" s="439"/>
    </row>
    <row r="413" spans="107:107" s="32" customFormat="1" ht="12.75" x14ac:dyDescent="0.2">
      <c r="DC413" s="439"/>
    </row>
    <row r="414" spans="107:107" s="32" customFormat="1" ht="12.75" x14ac:dyDescent="0.2">
      <c r="DC414" s="439"/>
    </row>
    <row r="415" spans="107:107" s="32" customFormat="1" ht="12.75" x14ac:dyDescent="0.2">
      <c r="DC415" s="439"/>
    </row>
    <row r="416" spans="107:107" s="32" customFormat="1" ht="12.75" x14ac:dyDescent="0.2">
      <c r="DC416" s="439"/>
    </row>
    <row r="417" spans="107:107" s="32" customFormat="1" ht="12.75" x14ac:dyDescent="0.2">
      <c r="DC417" s="439"/>
    </row>
    <row r="418" spans="107:107" s="32" customFormat="1" ht="12.75" x14ac:dyDescent="0.2">
      <c r="DC418" s="439"/>
    </row>
    <row r="419" spans="107:107" s="32" customFormat="1" ht="12.75" x14ac:dyDescent="0.2">
      <c r="DC419" s="439"/>
    </row>
    <row r="420" spans="107:107" s="32" customFormat="1" ht="12.75" x14ac:dyDescent="0.2">
      <c r="DC420" s="439"/>
    </row>
    <row r="421" spans="107:107" s="32" customFormat="1" ht="12.75" x14ac:dyDescent="0.2">
      <c r="DC421" s="439"/>
    </row>
    <row r="422" spans="107:107" s="32" customFormat="1" ht="12.75" x14ac:dyDescent="0.2">
      <c r="DC422" s="439"/>
    </row>
    <row r="423" spans="107:107" s="32" customFormat="1" ht="12.75" x14ac:dyDescent="0.2">
      <c r="DC423" s="439"/>
    </row>
    <row r="424" spans="107:107" s="32" customFormat="1" ht="12.75" x14ac:dyDescent="0.2">
      <c r="DC424" s="439"/>
    </row>
    <row r="425" spans="107:107" s="32" customFormat="1" ht="12.75" x14ac:dyDescent="0.2">
      <c r="DC425" s="439"/>
    </row>
    <row r="426" spans="107:107" s="32" customFormat="1" ht="12.75" x14ac:dyDescent="0.2">
      <c r="DC426" s="439"/>
    </row>
    <row r="427" spans="107:107" s="32" customFormat="1" ht="12.75" x14ac:dyDescent="0.2">
      <c r="DC427" s="439"/>
    </row>
    <row r="428" spans="107:107" s="32" customFormat="1" ht="12.75" x14ac:dyDescent="0.2">
      <c r="DC428" s="439"/>
    </row>
    <row r="429" spans="107:107" s="32" customFormat="1" ht="12.75" x14ac:dyDescent="0.2">
      <c r="DC429" s="439"/>
    </row>
    <row r="430" spans="107:107" s="32" customFormat="1" ht="12.75" x14ac:dyDescent="0.2">
      <c r="DC430" s="439"/>
    </row>
    <row r="431" spans="107:107" s="32" customFormat="1" ht="12.75" x14ac:dyDescent="0.2">
      <c r="DC431" s="439"/>
    </row>
    <row r="432" spans="107:107" s="32" customFormat="1" ht="12.75" x14ac:dyDescent="0.2">
      <c r="DC432" s="439"/>
    </row>
    <row r="433" spans="107:107" s="32" customFormat="1" ht="12.75" x14ac:dyDescent="0.2">
      <c r="DC433" s="439"/>
    </row>
    <row r="434" spans="107:107" s="32" customFormat="1" ht="12.75" x14ac:dyDescent="0.2">
      <c r="DC434" s="439"/>
    </row>
    <row r="435" spans="107:107" s="32" customFormat="1" ht="12.75" x14ac:dyDescent="0.2">
      <c r="DC435" s="439"/>
    </row>
    <row r="436" spans="107:107" s="32" customFormat="1" ht="12.75" x14ac:dyDescent="0.2">
      <c r="DC436" s="439"/>
    </row>
    <row r="437" spans="107:107" s="32" customFormat="1" ht="12.75" x14ac:dyDescent="0.2">
      <c r="DC437" s="439"/>
    </row>
    <row r="438" spans="107:107" s="32" customFormat="1" ht="12.75" x14ac:dyDescent="0.2">
      <c r="DC438" s="439"/>
    </row>
    <row r="439" spans="107:107" s="32" customFormat="1" ht="12.75" x14ac:dyDescent="0.2">
      <c r="DC439" s="439"/>
    </row>
    <row r="440" spans="107:107" s="32" customFormat="1" ht="12.75" x14ac:dyDescent="0.2">
      <c r="DC440" s="439"/>
    </row>
    <row r="441" spans="107:107" s="32" customFormat="1" ht="12.75" x14ac:dyDescent="0.2">
      <c r="DC441" s="439"/>
    </row>
    <row r="442" spans="107:107" s="32" customFormat="1" ht="12.75" x14ac:dyDescent="0.2">
      <c r="DC442" s="439"/>
    </row>
    <row r="443" spans="107:107" s="32" customFormat="1" ht="12.75" x14ac:dyDescent="0.2">
      <c r="DC443" s="439"/>
    </row>
    <row r="444" spans="107:107" s="32" customFormat="1" ht="12.75" x14ac:dyDescent="0.2">
      <c r="DC444" s="439"/>
    </row>
    <row r="445" spans="107:107" s="32" customFormat="1" ht="12.75" x14ac:dyDescent="0.2">
      <c r="DC445" s="439"/>
    </row>
    <row r="446" spans="107:107" s="32" customFormat="1" ht="12.75" x14ac:dyDescent="0.2">
      <c r="DC446" s="439"/>
    </row>
    <row r="447" spans="107:107" s="32" customFormat="1" ht="12.75" x14ac:dyDescent="0.2">
      <c r="DC447" s="439"/>
    </row>
    <row r="448" spans="107:107" s="32" customFormat="1" ht="12.75" x14ac:dyDescent="0.2">
      <c r="DC448" s="439"/>
    </row>
    <row r="449" spans="107:107" s="32" customFormat="1" ht="12.75" x14ac:dyDescent="0.2">
      <c r="DC449" s="439"/>
    </row>
    <row r="450" spans="107:107" s="32" customFormat="1" ht="12.75" x14ac:dyDescent="0.2">
      <c r="DC450" s="439"/>
    </row>
    <row r="451" spans="107:107" s="32" customFormat="1" ht="12.75" x14ac:dyDescent="0.2">
      <c r="DC451" s="439"/>
    </row>
    <row r="452" spans="107:107" s="32" customFormat="1" ht="12.75" x14ac:dyDescent="0.2">
      <c r="DC452" s="439"/>
    </row>
    <row r="453" spans="107:107" s="32" customFormat="1" ht="12.75" x14ac:dyDescent="0.2">
      <c r="DC453" s="439"/>
    </row>
    <row r="454" spans="107:107" s="32" customFormat="1" ht="12.75" x14ac:dyDescent="0.2">
      <c r="DC454" s="439"/>
    </row>
    <row r="455" spans="107:107" s="32" customFormat="1" ht="12.75" x14ac:dyDescent="0.2">
      <c r="DC455" s="439"/>
    </row>
    <row r="456" spans="107:107" s="32" customFormat="1" ht="12.75" x14ac:dyDescent="0.2">
      <c r="DC456" s="439"/>
    </row>
    <row r="457" spans="107:107" s="32" customFormat="1" ht="12.75" x14ac:dyDescent="0.2">
      <c r="DC457" s="439"/>
    </row>
    <row r="458" spans="107:107" s="32" customFormat="1" ht="12.75" x14ac:dyDescent="0.2">
      <c r="DC458" s="439"/>
    </row>
    <row r="459" spans="107:107" s="32" customFormat="1" ht="12.75" x14ac:dyDescent="0.2">
      <c r="DC459" s="439"/>
    </row>
    <row r="460" spans="107:107" s="32" customFormat="1" ht="12.75" x14ac:dyDescent="0.2">
      <c r="DC460" s="439"/>
    </row>
    <row r="461" spans="107:107" s="32" customFormat="1" ht="12.75" x14ac:dyDescent="0.2">
      <c r="DC461" s="439"/>
    </row>
    <row r="462" spans="107:107" s="32" customFormat="1" ht="12.75" x14ac:dyDescent="0.2">
      <c r="DC462" s="439"/>
    </row>
    <row r="463" spans="107:107" s="32" customFormat="1" ht="12.75" x14ac:dyDescent="0.2">
      <c r="DC463" s="439"/>
    </row>
    <row r="464" spans="107:107" s="32" customFormat="1" ht="12.75" x14ac:dyDescent="0.2">
      <c r="DC464" s="439"/>
    </row>
    <row r="465" spans="107:107" s="32" customFormat="1" ht="12.75" x14ac:dyDescent="0.2">
      <c r="DC465" s="439"/>
    </row>
    <row r="466" spans="107:107" s="32" customFormat="1" ht="12.75" x14ac:dyDescent="0.2">
      <c r="DC466" s="439"/>
    </row>
    <row r="467" spans="107:107" s="32" customFormat="1" ht="12.75" x14ac:dyDescent="0.2">
      <c r="DC467" s="439"/>
    </row>
    <row r="468" spans="107:107" s="32" customFormat="1" ht="12.75" x14ac:dyDescent="0.2">
      <c r="DC468" s="439"/>
    </row>
    <row r="469" spans="107:107" s="32" customFormat="1" ht="12.75" x14ac:dyDescent="0.2">
      <c r="DC469" s="439"/>
    </row>
    <row r="470" spans="107:107" s="32" customFormat="1" ht="12.75" x14ac:dyDescent="0.2">
      <c r="DC470" s="439"/>
    </row>
    <row r="471" spans="107:107" s="32" customFormat="1" ht="12.75" x14ac:dyDescent="0.2">
      <c r="DC471" s="439"/>
    </row>
    <row r="472" spans="107:107" s="32" customFormat="1" ht="12.75" x14ac:dyDescent="0.2">
      <c r="DC472" s="439"/>
    </row>
    <row r="473" spans="107:107" s="32" customFormat="1" ht="12.75" x14ac:dyDescent="0.2">
      <c r="DC473" s="439"/>
    </row>
    <row r="474" spans="107:107" s="32" customFormat="1" ht="12.75" x14ac:dyDescent="0.2">
      <c r="DC474" s="439"/>
    </row>
    <row r="475" spans="107:107" s="32" customFormat="1" ht="12.75" x14ac:dyDescent="0.2">
      <c r="DC475" s="439"/>
    </row>
    <row r="476" spans="107:107" s="32" customFormat="1" ht="12.75" x14ac:dyDescent="0.2">
      <c r="DC476" s="439"/>
    </row>
    <row r="477" spans="107:107" s="32" customFormat="1" ht="12.75" x14ac:dyDescent="0.2">
      <c r="DC477" s="439"/>
    </row>
    <row r="478" spans="107:107" s="32" customFormat="1" ht="12.75" x14ac:dyDescent="0.2">
      <c r="DC478" s="439"/>
    </row>
    <row r="479" spans="107:107" s="32" customFormat="1" ht="12.75" x14ac:dyDescent="0.2">
      <c r="DC479" s="439"/>
    </row>
    <row r="480" spans="107:107" s="32" customFormat="1" ht="12.75" x14ac:dyDescent="0.2">
      <c r="DC480" s="439"/>
    </row>
    <row r="481" spans="107:107" s="32" customFormat="1" ht="12.75" x14ac:dyDescent="0.2">
      <c r="DC481" s="439"/>
    </row>
    <row r="482" spans="107:107" s="32" customFormat="1" ht="12.75" x14ac:dyDescent="0.2">
      <c r="DC482" s="439"/>
    </row>
    <row r="483" spans="107:107" s="32" customFormat="1" ht="12.75" x14ac:dyDescent="0.2">
      <c r="DC483" s="439"/>
    </row>
    <row r="484" spans="107:107" s="32" customFormat="1" ht="12.75" x14ac:dyDescent="0.2">
      <c r="DC484" s="439"/>
    </row>
    <row r="485" spans="107:107" s="32" customFormat="1" ht="12.75" x14ac:dyDescent="0.2">
      <c r="DC485" s="439"/>
    </row>
    <row r="486" spans="107:107" s="32" customFormat="1" ht="12.75" x14ac:dyDescent="0.2">
      <c r="DC486" s="439"/>
    </row>
    <row r="487" spans="107:107" s="32" customFormat="1" ht="12.75" x14ac:dyDescent="0.2">
      <c r="DC487" s="439"/>
    </row>
    <row r="488" spans="107:107" s="32" customFormat="1" ht="12.75" x14ac:dyDescent="0.2">
      <c r="DC488" s="439"/>
    </row>
    <row r="489" spans="107:107" s="32" customFormat="1" ht="12.75" x14ac:dyDescent="0.2">
      <c r="DC489" s="439"/>
    </row>
    <row r="490" spans="107:107" s="32" customFormat="1" ht="12.75" x14ac:dyDescent="0.2">
      <c r="DC490" s="439"/>
    </row>
    <row r="491" spans="107:107" s="32" customFormat="1" ht="12.75" x14ac:dyDescent="0.2">
      <c r="DC491" s="439"/>
    </row>
    <row r="492" spans="107:107" s="32" customFormat="1" ht="12.75" x14ac:dyDescent="0.2">
      <c r="DC492" s="439"/>
    </row>
    <row r="493" spans="107:107" s="32" customFormat="1" ht="12.75" x14ac:dyDescent="0.2">
      <c r="DC493" s="439"/>
    </row>
    <row r="494" spans="107:107" s="32" customFormat="1" ht="12.75" x14ac:dyDescent="0.2">
      <c r="DC494" s="439"/>
    </row>
    <row r="495" spans="107:107" s="32" customFormat="1" ht="12.75" x14ac:dyDescent="0.2">
      <c r="DC495" s="439"/>
    </row>
    <row r="496" spans="107:107" s="32" customFormat="1" ht="12.75" x14ac:dyDescent="0.2">
      <c r="DC496" s="439"/>
    </row>
    <row r="497" spans="107:107" s="32" customFormat="1" ht="12.75" x14ac:dyDescent="0.2">
      <c r="DC497" s="439"/>
    </row>
    <row r="498" spans="107:107" s="32" customFormat="1" ht="12.75" x14ac:dyDescent="0.2">
      <c r="DC498" s="439"/>
    </row>
    <row r="499" spans="107:107" s="32" customFormat="1" ht="12.75" x14ac:dyDescent="0.2">
      <c r="DC499" s="439"/>
    </row>
    <row r="500" spans="107:107" s="32" customFormat="1" ht="12.75" x14ac:dyDescent="0.2">
      <c r="DC500" s="439"/>
    </row>
    <row r="501" spans="107:107" s="32" customFormat="1" ht="12.75" x14ac:dyDescent="0.2">
      <c r="DC501" s="439"/>
    </row>
    <row r="502" spans="107:107" s="32" customFormat="1" ht="12.75" x14ac:dyDescent="0.2">
      <c r="DC502" s="439"/>
    </row>
    <row r="503" spans="107:107" s="32" customFormat="1" ht="12.75" x14ac:dyDescent="0.2">
      <c r="DC503" s="439"/>
    </row>
    <row r="504" spans="107:107" s="32" customFormat="1" ht="12.75" x14ac:dyDescent="0.2">
      <c r="DC504" s="439"/>
    </row>
    <row r="505" spans="107:107" s="32" customFormat="1" ht="12.75" x14ac:dyDescent="0.2">
      <c r="DC505" s="439"/>
    </row>
    <row r="506" spans="107:107" s="32" customFormat="1" ht="12.75" x14ac:dyDescent="0.2">
      <c r="DC506" s="439"/>
    </row>
    <row r="507" spans="107:107" s="32" customFormat="1" ht="12.75" x14ac:dyDescent="0.2">
      <c r="DC507" s="439"/>
    </row>
    <row r="508" spans="107:107" s="32" customFormat="1" ht="12.75" x14ac:dyDescent="0.2">
      <c r="DC508" s="439"/>
    </row>
    <row r="509" spans="107:107" s="32" customFormat="1" ht="12.75" x14ac:dyDescent="0.2">
      <c r="DC509" s="439"/>
    </row>
    <row r="510" spans="107:107" s="32" customFormat="1" ht="12.75" x14ac:dyDescent="0.2">
      <c r="DC510" s="439"/>
    </row>
    <row r="511" spans="107:107" s="32" customFormat="1" ht="12.75" x14ac:dyDescent="0.2">
      <c r="DC511" s="439"/>
    </row>
    <row r="512" spans="107:107" s="32" customFormat="1" ht="12.75" x14ac:dyDescent="0.2">
      <c r="DC512" s="439"/>
    </row>
    <row r="513" spans="107:107" s="32" customFormat="1" ht="12.75" x14ac:dyDescent="0.2">
      <c r="DC513" s="439"/>
    </row>
    <row r="514" spans="107:107" s="32" customFormat="1" ht="12.75" x14ac:dyDescent="0.2">
      <c r="DC514" s="439"/>
    </row>
    <row r="515" spans="107:107" s="32" customFormat="1" ht="12.75" x14ac:dyDescent="0.2">
      <c r="DC515" s="439"/>
    </row>
    <row r="516" spans="107:107" s="32" customFormat="1" ht="12.75" x14ac:dyDescent="0.2">
      <c r="DC516" s="439"/>
    </row>
    <row r="517" spans="107:107" s="32" customFormat="1" ht="12.75" x14ac:dyDescent="0.2">
      <c r="DC517" s="439"/>
    </row>
    <row r="518" spans="107:107" s="32" customFormat="1" ht="12.75" x14ac:dyDescent="0.2">
      <c r="DC518" s="439"/>
    </row>
    <row r="519" spans="107:107" s="32" customFormat="1" ht="12.75" x14ac:dyDescent="0.2">
      <c r="DC519" s="439"/>
    </row>
    <row r="520" spans="107:107" s="32" customFormat="1" ht="12.75" x14ac:dyDescent="0.2">
      <c r="DC520" s="439"/>
    </row>
    <row r="521" spans="107:107" s="32" customFormat="1" ht="12.75" x14ac:dyDescent="0.2">
      <c r="DC521" s="439"/>
    </row>
    <row r="522" spans="107:107" s="32" customFormat="1" ht="12.75" x14ac:dyDescent="0.2">
      <c r="DC522" s="439"/>
    </row>
    <row r="523" spans="107:107" s="32" customFormat="1" ht="12.75" x14ac:dyDescent="0.2">
      <c r="DC523" s="439"/>
    </row>
    <row r="524" spans="107:107" s="32" customFormat="1" ht="12.75" x14ac:dyDescent="0.2">
      <c r="DC524" s="439"/>
    </row>
    <row r="525" spans="107:107" s="32" customFormat="1" ht="12.75" x14ac:dyDescent="0.2">
      <c r="DC525" s="439"/>
    </row>
    <row r="526" spans="107:107" s="32" customFormat="1" ht="12.75" x14ac:dyDescent="0.2">
      <c r="DC526" s="439"/>
    </row>
    <row r="527" spans="107:107" s="32" customFormat="1" ht="12.75" x14ac:dyDescent="0.2">
      <c r="DC527" s="439"/>
    </row>
    <row r="528" spans="107:107" s="32" customFormat="1" ht="12.75" x14ac:dyDescent="0.2">
      <c r="DC528" s="439"/>
    </row>
    <row r="529" spans="107:107" s="32" customFormat="1" ht="12.75" x14ac:dyDescent="0.2">
      <c r="DC529" s="439"/>
    </row>
    <row r="530" spans="107:107" s="32" customFormat="1" ht="12.75" x14ac:dyDescent="0.2">
      <c r="DC530" s="439"/>
    </row>
    <row r="531" spans="107:107" s="32" customFormat="1" ht="12.75" x14ac:dyDescent="0.2">
      <c r="DC531" s="439"/>
    </row>
    <row r="532" spans="107:107" s="32" customFormat="1" ht="12.75" x14ac:dyDescent="0.2">
      <c r="DC532" s="439"/>
    </row>
    <row r="533" spans="107:107" s="32" customFormat="1" ht="12.75" x14ac:dyDescent="0.2">
      <c r="DC533" s="439"/>
    </row>
    <row r="534" spans="107:107" s="32" customFormat="1" ht="12.75" x14ac:dyDescent="0.2">
      <c r="DC534" s="439"/>
    </row>
    <row r="535" spans="107:107" s="32" customFormat="1" ht="12.75" x14ac:dyDescent="0.2">
      <c r="DC535" s="439"/>
    </row>
    <row r="536" spans="107:107" s="32" customFormat="1" ht="12.75" x14ac:dyDescent="0.2">
      <c r="DC536" s="439"/>
    </row>
    <row r="537" spans="107:107" s="32" customFormat="1" ht="12.75" x14ac:dyDescent="0.2">
      <c r="DC537" s="439"/>
    </row>
    <row r="538" spans="107:107" s="32" customFormat="1" ht="12.75" x14ac:dyDescent="0.2">
      <c r="DC538" s="439"/>
    </row>
    <row r="539" spans="107:107" s="32" customFormat="1" ht="12.75" x14ac:dyDescent="0.2">
      <c r="DC539" s="439"/>
    </row>
    <row r="540" spans="107:107" s="32" customFormat="1" ht="12.75" x14ac:dyDescent="0.2">
      <c r="DC540" s="439"/>
    </row>
    <row r="541" spans="107:107" s="32" customFormat="1" ht="12.75" x14ac:dyDescent="0.2">
      <c r="DC541" s="439"/>
    </row>
    <row r="542" spans="107:107" s="32" customFormat="1" ht="12.75" x14ac:dyDescent="0.2">
      <c r="DC542" s="439"/>
    </row>
    <row r="543" spans="107:107" s="32" customFormat="1" ht="12.75" x14ac:dyDescent="0.2">
      <c r="DC543" s="439"/>
    </row>
    <row r="544" spans="107:107" s="32" customFormat="1" ht="12.75" x14ac:dyDescent="0.2">
      <c r="DC544" s="439"/>
    </row>
    <row r="545" spans="107:107" s="32" customFormat="1" ht="12.75" x14ac:dyDescent="0.2">
      <c r="DC545" s="439"/>
    </row>
    <row r="546" spans="107:107" s="32" customFormat="1" ht="12.75" x14ac:dyDescent="0.2">
      <c r="DC546" s="439"/>
    </row>
    <row r="547" spans="107:107" s="32" customFormat="1" ht="12.75" x14ac:dyDescent="0.2">
      <c r="DC547" s="439"/>
    </row>
    <row r="548" spans="107:107" s="32" customFormat="1" ht="12.75" x14ac:dyDescent="0.2">
      <c r="DC548" s="439"/>
    </row>
    <row r="549" spans="107:107" s="32" customFormat="1" ht="12.75" x14ac:dyDescent="0.2">
      <c r="DC549" s="439"/>
    </row>
    <row r="550" spans="107:107" s="32" customFormat="1" ht="12.75" x14ac:dyDescent="0.2">
      <c r="DC550" s="439"/>
    </row>
    <row r="551" spans="107:107" s="32" customFormat="1" ht="12.75" x14ac:dyDescent="0.2">
      <c r="DC551" s="439"/>
    </row>
    <row r="552" spans="107:107" s="32" customFormat="1" ht="12.75" x14ac:dyDescent="0.2">
      <c r="DC552" s="439"/>
    </row>
    <row r="553" spans="107:107" s="32" customFormat="1" ht="12.75" x14ac:dyDescent="0.2">
      <c r="DC553" s="439"/>
    </row>
    <row r="554" spans="107:107" s="32" customFormat="1" ht="12.75" x14ac:dyDescent="0.2">
      <c r="DC554" s="439"/>
    </row>
    <row r="555" spans="107:107" s="32" customFormat="1" ht="12.75" x14ac:dyDescent="0.2">
      <c r="DC555" s="439"/>
    </row>
    <row r="556" spans="107:107" s="32" customFormat="1" ht="12.75" x14ac:dyDescent="0.2">
      <c r="DC556" s="439"/>
    </row>
    <row r="557" spans="107:107" s="32" customFormat="1" ht="12.75" x14ac:dyDescent="0.2">
      <c r="DC557" s="439"/>
    </row>
    <row r="558" spans="107:107" s="32" customFormat="1" ht="12.75" x14ac:dyDescent="0.2">
      <c r="DC558" s="439"/>
    </row>
    <row r="559" spans="107:107" s="32" customFormat="1" ht="12.75" x14ac:dyDescent="0.2">
      <c r="DC559" s="439"/>
    </row>
    <row r="560" spans="107:107" s="32" customFormat="1" ht="12.75" x14ac:dyDescent="0.2">
      <c r="DC560" s="439"/>
    </row>
    <row r="561" spans="107:107" s="32" customFormat="1" ht="12.75" x14ac:dyDescent="0.2">
      <c r="DC561" s="439"/>
    </row>
    <row r="562" spans="107:107" s="32" customFormat="1" ht="12.75" x14ac:dyDescent="0.2">
      <c r="DC562" s="439"/>
    </row>
    <row r="563" spans="107:107" s="32" customFormat="1" ht="12.75" x14ac:dyDescent="0.2">
      <c r="DC563" s="439"/>
    </row>
    <row r="564" spans="107:107" s="32" customFormat="1" ht="12.75" x14ac:dyDescent="0.2">
      <c r="DC564" s="439"/>
    </row>
    <row r="565" spans="107:107" s="32" customFormat="1" ht="12.75" x14ac:dyDescent="0.2">
      <c r="DC565" s="439"/>
    </row>
    <row r="566" spans="107:107" s="32" customFormat="1" ht="12.75" x14ac:dyDescent="0.2">
      <c r="DC566" s="439"/>
    </row>
    <row r="567" spans="107:107" s="32" customFormat="1" ht="12.75" x14ac:dyDescent="0.2">
      <c r="DC567" s="439"/>
    </row>
    <row r="568" spans="107:107" s="32" customFormat="1" ht="12.75" x14ac:dyDescent="0.2">
      <c r="DC568" s="439"/>
    </row>
    <row r="569" spans="107:107" s="32" customFormat="1" ht="12.75" x14ac:dyDescent="0.2">
      <c r="DC569" s="439"/>
    </row>
    <row r="570" spans="107:107" s="32" customFormat="1" ht="12.75" x14ac:dyDescent="0.2">
      <c r="DC570" s="439"/>
    </row>
    <row r="571" spans="107:107" s="32" customFormat="1" ht="12.75" x14ac:dyDescent="0.2">
      <c r="DC571" s="439"/>
    </row>
    <row r="572" spans="107:107" s="32" customFormat="1" ht="12.75" x14ac:dyDescent="0.2">
      <c r="DC572" s="439"/>
    </row>
    <row r="573" spans="107:107" s="32" customFormat="1" ht="12.75" x14ac:dyDescent="0.2">
      <c r="DC573" s="439"/>
    </row>
    <row r="574" spans="107:107" s="32" customFormat="1" ht="12.75" x14ac:dyDescent="0.2">
      <c r="DC574" s="439"/>
    </row>
    <row r="575" spans="107:107" s="32" customFormat="1" ht="12.75" x14ac:dyDescent="0.2">
      <c r="DC575" s="439"/>
    </row>
    <row r="576" spans="107:107" s="32" customFormat="1" ht="12.75" x14ac:dyDescent="0.2">
      <c r="DC576" s="439"/>
    </row>
    <row r="577" spans="107:107" s="32" customFormat="1" ht="12.75" x14ac:dyDescent="0.2">
      <c r="DC577" s="439"/>
    </row>
    <row r="578" spans="107:107" s="32" customFormat="1" ht="12.75" x14ac:dyDescent="0.2">
      <c r="DC578" s="439"/>
    </row>
    <row r="579" spans="107:107" s="32" customFormat="1" ht="12.75" x14ac:dyDescent="0.2">
      <c r="DC579" s="439"/>
    </row>
    <row r="580" spans="107:107" s="32" customFormat="1" ht="12.75" x14ac:dyDescent="0.2">
      <c r="DC580" s="439"/>
    </row>
    <row r="581" spans="107:107" s="32" customFormat="1" ht="12.75" x14ac:dyDescent="0.2">
      <c r="DC581" s="439"/>
    </row>
    <row r="582" spans="107:107" s="32" customFormat="1" ht="12.75" x14ac:dyDescent="0.2">
      <c r="DC582" s="439"/>
    </row>
    <row r="583" spans="107:107" s="32" customFormat="1" ht="12.75" x14ac:dyDescent="0.2">
      <c r="DC583" s="439"/>
    </row>
    <row r="584" spans="107:107" s="32" customFormat="1" ht="12.75" x14ac:dyDescent="0.2">
      <c r="DC584" s="439"/>
    </row>
    <row r="585" spans="107:107" s="32" customFormat="1" ht="12.75" x14ac:dyDescent="0.2">
      <c r="DC585" s="439"/>
    </row>
    <row r="586" spans="107:107" s="32" customFormat="1" ht="12.75" x14ac:dyDescent="0.2">
      <c r="DC586" s="439"/>
    </row>
    <row r="587" spans="107:107" s="32" customFormat="1" ht="12.75" x14ac:dyDescent="0.2">
      <c r="DC587" s="439"/>
    </row>
    <row r="588" spans="107:107" s="32" customFormat="1" ht="12.75" x14ac:dyDescent="0.2">
      <c r="DC588" s="439"/>
    </row>
    <row r="589" spans="107:107" s="32" customFormat="1" ht="12.75" x14ac:dyDescent="0.2">
      <c r="DC589" s="439"/>
    </row>
    <row r="590" spans="107:107" s="32" customFormat="1" ht="12.75" x14ac:dyDescent="0.2">
      <c r="DC590" s="439"/>
    </row>
    <row r="591" spans="107:107" s="32" customFormat="1" ht="12.75" x14ac:dyDescent="0.2">
      <c r="DC591" s="439"/>
    </row>
    <row r="592" spans="107:107" s="32" customFormat="1" ht="12.75" x14ac:dyDescent="0.2">
      <c r="DC592" s="439"/>
    </row>
    <row r="593" spans="107:107" s="32" customFormat="1" ht="12.75" x14ac:dyDescent="0.2">
      <c r="DC593" s="439"/>
    </row>
    <row r="594" spans="107:107" s="32" customFormat="1" ht="12.75" x14ac:dyDescent="0.2">
      <c r="DC594" s="439"/>
    </row>
    <row r="595" spans="107:107" s="32" customFormat="1" ht="12.75" x14ac:dyDescent="0.2">
      <c r="DC595" s="439"/>
    </row>
    <row r="596" spans="107:107" s="32" customFormat="1" ht="12.75" x14ac:dyDescent="0.2">
      <c r="DC596" s="439"/>
    </row>
    <row r="597" spans="107:107" s="32" customFormat="1" ht="12.75" x14ac:dyDescent="0.2">
      <c r="DC597" s="439"/>
    </row>
    <row r="598" spans="107:107" s="32" customFormat="1" ht="12.75" x14ac:dyDescent="0.2">
      <c r="DC598" s="439"/>
    </row>
    <row r="599" spans="107:107" s="32" customFormat="1" ht="12.75" x14ac:dyDescent="0.2">
      <c r="DC599" s="439"/>
    </row>
    <row r="600" spans="107:107" s="32" customFormat="1" ht="12.75" x14ac:dyDescent="0.2">
      <c r="DC600" s="439"/>
    </row>
    <row r="601" spans="107:107" s="32" customFormat="1" ht="12.75" x14ac:dyDescent="0.2">
      <c r="DC601" s="439"/>
    </row>
    <row r="602" spans="107:107" s="32" customFormat="1" ht="12.75" x14ac:dyDescent="0.2">
      <c r="DC602" s="439"/>
    </row>
    <row r="603" spans="107:107" s="32" customFormat="1" ht="12.75" x14ac:dyDescent="0.2">
      <c r="DC603" s="439"/>
    </row>
    <row r="604" spans="107:107" s="32" customFormat="1" ht="12.75" x14ac:dyDescent="0.2">
      <c r="DC604" s="439"/>
    </row>
    <row r="605" spans="107:107" s="32" customFormat="1" ht="12.75" x14ac:dyDescent="0.2">
      <c r="DC605" s="439"/>
    </row>
    <row r="606" spans="107:107" s="32" customFormat="1" ht="12.75" x14ac:dyDescent="0.2">
      <c r="DC606" s="439"/>
    </row>
    <row r="607" spans="107:107" s="32" customFormat="1" ht="12.75" x14ac:dyDescent="0.2">
      <c r="DC607" s="439"/>
    </row>
    <row r="608" spans="107:107" s="32" customFormat="1" ht="12.75" x14ac:dyDescent="0.2">
      <c r="DC608" s="439"/>
    </row>
    <row r="609" spans="107:107" s="32" customFormat="1" ht="12.75" x14ac:dyDescent="0.2">
      <c r="DC609" s="439"/>
    </row>
    <row r="610" spans="107:107" s="32" customFormat="1" ht="12.75" x14ac:dyDescent="0.2">
      <c r="DC610" s="439"/>
    </row>
    <row r="611" spans="107:107" s="32" customFormat="1" ht="12.75" x14ac:dyDescent="0.2">
      <c r="DC611" s="439"/>
    </row>
    <row r="612" spans="107:107" s="32" customFormat="1" ht="12.75" x14ac:dyDescent="0.2">
      <c r="DC612" s="439"/>
    </row>
    <row r="613" spans="107:107" s="32" customFormat="1" ht="12.75" x14ac:dyDescent="0.2">
      <c r="DC613" s="439"/>
    </row>
    <row r="614" spans="107:107" s="32" customFormat="1" ht="12.75" x14ac:dyDescent="0.2">
      <c r="DC614" s="439"/>
    </row>
    <row r="615" spans="107:107" s="32" customFormat="1" ht="12.75" x14ac:dyDescent="0.2">
      <c r="DC615" s="439"/>
    </row>
    <row r="616" spans="107:107" s="32" customFormat="1" ht="12.75" x14ac:dyDescent="0.2">
      <c r="DC616" s="439"/>
    </row>
    <row r="617" spans="107:107" s="32" customFormat="1" ht="12.75" x14ac:dyDescent="0.2">
      <c r="DC617" s="439"/>
    </row>
    <row r="618" spans="107:107" s="32" customFormat="1" ht="12.75" x14ac:dyDescent="0.2">
      <c r="DC618" s="439"/>
    </row>
    <row r="619" spans="107:107" s="32" customFormat="1" ht="12.75" x14ac:dyDescent="0.2">
      <c r="DC619" s="439"/>
    </row>
    <row r="620" spans="107:107" s="32" customFormat="1" ht="12.75" x14ac:dyDescent="0.2">
      <c r="DC620" s="439"/>
    </row>
    <row r="621" spans="107:107" s="32" customFormat="1" ht="12.75" x14ac:dyDescent="0.2">
      <c r="DC621" s="439"/>
    </row>
    <row r="622" spans="107:107" s="32" customFormat="1" ht="12.75" x14ac:dyDescent="0.2">
      <c r="DC622" s="439"/>
    </row>
    <row r="623" spans="107:107" s="32" customFormat="1" ht="12.75" x14ac:dyDescent="0.2">
      <c r="DC623" s="439"/>
    </row>
    <row r="624" spans="107:107" s="32" customFormat="1" ht="12.75" x14ac:dyDescent="0.2">
      <c r="DC624" s="439"/>
    </row>
    <row r="625" spans="107:107" s="32" customFormat="1" ht="12.75" x14ac:dyDescent="0.2">
      <c r="DC625" s="439"/>
    </row>
    <row r="626" spans="107:107" s="32" customFormat="1" ht="12.75" x14ac:dyDescent="0.2">
      <c r="DC626" s="439"/>
    </row>
    <row r="627" spans="107:107" s="32" customFormat="1" ht="12.75" x14ac:dyDescent="0.2">
      <c r="DC627" s="439"/>
    </row>
    <row r="628" spans="107:107" s="32" customFormat="1" ht="12.75" x14ac:dyDescent="0.2">
      <c r="DC628" s="439"/>
    </row>
    <row r="629" spans="107:107" s="32" customFormat="1" ht="12.75" x14ac:dyDescent="0.2">
      <c r="DC629" s="439"/>
    </row>
    <row r="630" spans="107:107" s="32" customFormat="1" ht="12.75" x14ac:dyDescent="0.2">
      <c r="DC630" s="439"/>
    </row>
    <row r="631" spans="107:107" s="32" customFormat="1" ht="12.75" x14ac:dyDescent="0.2">
      <c r="DC631" s="439"/>
    </row>
    <row r="632" spans="107:107" s="32" customFormat="1" ht="12.75" x14ac:dyDescent="0.2">
      <c r="DC632" s="439"/>
    </row>
    <row r="633" spans="107:107" s="32" customFormat="1" ht="12.75" x14ac:dyDescent="0.2">
      <c r="DC633" s="439"/>
    </row>
    <row r="634" spans="107:107" s="32" customFormat="1" ht="12.75" x14ac:dyDescent="0.2">
      <c r="DC634" s="439"/>
    </row>
    <row r="635" spans="107:107" s="32" customFormat="1" ht="12.75" x14ac:dyDescent="0.2">
      <c r="DC635" s="439"/>
    </row>
    <row r="636" spans="107:107" s="32" customFormat="1" ht="12.75" x14ac:dyDescent="0.2">
      <c r="DC636" s="439"/>
    </row>
    <row r="637" spans="107:107" s="32" customFormat="1" ht="12.75" x14ac:dyDescent="0.2">
      <c r="DC637" s="439"/>
    </row>
    <row r="638" spans="107:107" s="32" customFormat="1" ht="12.75" x14ac:dyDescent="0.2">
      <c r="DC638" s="439"/>
    </row>
    <row r="639" spans="107:107" s="32" customFormat="1" ht="12.75" x14ac:dyDescent="0.2">
      <c r="DC639" s="439"/>
    </row>
    <row r="640" spans="107:107" s="32" customFormat="1" ht="12.75" x14ac:dyDescent="0.2">
      <c r="DC640" s="439"/>
    </row>
    <row r="641" spans="107:107" s="32" customFormat="1" ht="12.75" x14ac:dyDescent="0.2">
      <c r="DC641" s="439"/>
    </row>
    <row r="642" spans="107:107" s="32" customFormat="1" ht="12.75" x14ac:dyDescent="0.2">
      <c r="DC642" s="439"/>
    </row>
    <row r="643" spans="107:107" s="32" customFormat="1" ht="12.75" x14ac:dyDescent="0.2">
      <c r="DC643" s="439"/>
    </row>
    <row r="644" spans="107:107" s="32" customFormat="1" ht="12.75" x14ac:dyDescent="0.2">
      <c r="DC644" s="439"/>
    </row>
    <row r="645" spans="107:107" s="32" customFormat="1" ht="12.75" x14ac:dyDescent="0.2">
      <c r="DC645" s="439"/>
    </row>
    <row r="646" spans="107:107" s="32" customFormat="1" ht="12.75" x14ac:dyDescent="0.2">
      <c r="DC646" s="439"/>
    </row>
    <row r="647" spans="107:107" s="32" customFormat="1" ht="12.75" x14ac:dyDescent="0.2">
      <c r="DC647" s="439"/>
    </row>
    <row r="648" spans="107:107" s="32" customFormat="1" ht="12.75" x14ac:dyDescent="0.2">
      <c r="DC648" s="439"/>
    </row>
    <row r="649" spans="107:107" s="32" customFormat="1" ht="12.75" x14ac:dyDescent="0.2">
      <c r="DC649" s="439"/>
    </row>
    <row r="650" spans="107:107" s="32" customFormat="1" ht="12.75" x14ac:dyDescent="0.2">
      <c r="DC650" s="439"/>
    </row>
    <row r="651" spans="107:107" s="32" customFormat="1" ht="12.75" x14ac:dyDescent="0.2">
      <c r="DC651" s="439"/>
    </row>
    <row r="652" spans="107:107" s="32" customFormat="1" ht="12.75" x14ac:dyDescent="0.2">
      <c r="DC652" s="439"/>
    </row>
    <row r="653" spans="107:107" s="32" customFormat="1" ht="12.75" x14ac:dyDescent="0.2">
      <c r="DC653" s="439"/>
    </row>
    <row r="654" spans="107:107" s="32" customFormat="1" ht="12.75" x14ac:dyDescent="0.2">
      <c r="DC654" s="439"/>
    </row>
    <row r="655" spans="107:107" s="32" customFormat="1" ht="12.75" x14ac:dyDescent="0.2">
      <c r="DC655" s="439"/>
    </row>
    <row r="656" spans="107:107" s="32" customFormat="1" ht="12.75" x14ac:dyDescent="0.2">
      <c r="DC656" s="439"/>
    </row>
    <row r="657" spans="107:107" s="32" customFormat="1" ht="12.75" x14ac:dyDescent="0.2">
      <c r="DC657" s="439"/>
    </row>
    <row r="658" spans="107:107" s="32" customFormat="1" ht="12.75" x14ac:dyDescent="0.2">
      <c r="DC658" s="439"/>
    </row>
    <row r="659" spans="107:107" s="32" customFormat="1" ht="12.75" x14ac:dyDescent="0.2">
      <c r="DC659" s="439"/>
    </row>
    <row r="660" spans="107:107" s="32" customFormat="1" ht="12.75" x14ac:dyDescent="0.2">
      <c r="DC660" s="439"/>
    </row>
    <row r="661" spans="107:107" s="32" customFormat="1" ht="12.75" x14ac:dyDescent="0.2">
      <c r="DC661" s="439"/>
    </row>
    <row r="662" spans="107:107" s="32" customFormat="1" ht="12.75" x14ac:dyDescent="0.2">
      <c r="DC662" s="439"/>
    </row>
    <row r="663" spans="107:107" s="32" customFormat="1" ht="12.75" x14ac:dyDescent="0.2">
      <c r="DC663" s="439"/>
    </row>
    <row r="664" spans="107:107" s="32" customFormat="1" ht="12.75" x14ac:dyDescent="0.2">
      <c r="DC664" s="439"/>
    </row>
    <row r="665" spans="107:107" s="32" customFormat="1" ht="12.75" x14ac:dyDescent="0.2">
      <c r="DC665" s="439"/>
    </row>
    <row r="666" spans="107:107" s="32" customFormat="1" ht="12.75" x14ac:dyDescent="0.2">
      <c r="DC666" s="439"/>
    </row>
    <row r="667" spans="107:107" s="32" customFormat="1" ht="12.75" x14ac:dyDescent="0.2">
      <c r="DC667" s="439"/>
    </row>
    <row r="668" spans="107:107" s="32" customFormat="1" ht="12.75" x14ac:dyDescent="0.2">
      <c r="DC668" s="439"/>
    </row>
    <row r="669" spans="107:107" s="32" customFormat="1" ht="12.75" x14ac:dyDescent="0.2">
      <c r="DC669" s="439"/>
    </row>
    <row r="670" spans="107:107" s="32" customFormat="1" ht="12.75" x14ac:dyDescent="0.2">
      <c r="DC670" s="439"/>
    </row>
    <row r="671" spans="107:107" s="32" customFormat="1" ht="12.75" x14ac:dyDescent="0.2">
      <c r="DC671" s="439"/>
    </row>
    <row r="672" spans="107:107" s="32" customFormat="1" ht="12.75" x14ac:dyDescent="0.2">
      <c r="DC672" s="439"/>
    </row>
    <row r="673" spans="107:107" s="32" customFormat="1" ht="12.75" x14ac:dyDescent="0.2">
      <c r="DC673" s="439"/>
    </row>
    <row r="674" spans="107:107" s="32" customFormat="1" ht="12.75" x14ac:dyDescent="0.2">
      <c r="DC674" s="439"/>
    </row>
    <row r="675" spans="107:107" s="32" customFormat="1" ht="12.75" x14ac:dyDescent="0.2">
      <c r="DC675" s="439"/>
    </row>
    <row r="676" spans="107:107" s="32" customFormat="1" ht="12.75" x14ac:dyDescent="0.2">
      <c r="DC676" s="439"/>
    </row>
    <row r="677" spans="107:107" s="32" customFormat="1" ht="12.75" x14ac:dyDescent="0.2">
      <c r="DC677" s="439"/>
    </row>
    <row r="678" spans="107:107" s="32" customFormat="1" ht="12.75" x14ac:dyDescent="0.2">
      <c r="DC678" s="439"/>
    </row>
    <row r="679" spans="107:107" s="32" customFormat="1" ht="12.75" x14ac:dyDescent="0.2">
      <c r="DC679" s="439"/>
    </row>
    <row r="680" spans="107:107" s="32" customFormat="1" ht="12.75" x14ac:dyDescent="0.2">
      <c r="DC680" s="439"/>
    </row>
    <row r="681" spans="107:107" s="32" customFormat="1" ht="12.75" x14ac:dyDescent="0.2">
      <c r="DC681" s="439"/>
    </row>
    <row r="682" spans="107:107" s="32" customFormat="1" ht="12.75" x14ac:dyDescent="0.2">
      <c r="DC682" s="439"/>
    </row>
    <row r="683" spans="107:107" s="32" customFormat="1" ht="12.75" x14ac:dyDescent="0.2">
      <c r="DC683" s="439"/>
    </row>
    <row r="684" spans="107:107" s="32" customFormat="1" ht="12.75" x14ac:dyDescent="0.2">
      <c r="DC684" s="439"/>
    </row>
    <row r="685" spans="107:107" s="32" customFormat="1" ht="12.75" x14ac:dyDescent="0.2">
      <c r="DC685" s="439"/>
    </row>
    <row r="686" spans="107:107" s="32" customFormat="1" ht="12.75" x14ac:dyDescent="0.2">
      <c r="DC686" s="439"/>
    </row>
    <row r="687" spans="107:107" s="32" customFormat="1" ht="12.75" x14ac:dyDescent="0.2">
      <c r="DC687" s="439"/>
    </row>
    <row r="688" spans="107:107" s="32" customFormat="1" ht="12.75" x14ac:dyDescent="0.2">
      <c r="DC688" s="439"/>
    </row>
    <row r="689" spans="107:107" s="32" customFormat="1" ht="12.75" x14ac:dyDescent="0.2">
      <c r="DC689" s="439"/>
    </row>
    <row r="690" spans="107:107" s="32" customFormat="1" ht="12.75" x14ac:dyDescent="0.2">
      <c r="DC690" s="439"/>
    </row>
    <row r="691" spans="107:107" s="32" customFormat="1" ht="12.75" x14ac:dyDescent="0.2">
      <c r="DC691" s="439"/>
    </row>
    <row r="692" spans="107:107" s="32" customFormat="1" ht="12.75" x14ac:dyDescent="0.2">
      <c r="DC692" s="439"/>
    </row>
    <row r="693" spans="107:107" s="32" customFormat="1" ht="12.75" x14ac:dyDescent="0.2">
      <c r="DC693" s="439"/>
    </row>
    <row r="694" spans="107:107" s="32" customFormat="1" ht="12.75" x14ac:dyDescent="0.2">
      <c r="DC694" s="439"/>
    </row>
    <row r="695" spans="107:107" s="32" customFormat="1" ht="12.75" x14ac:dyDescent="0.2">
      <c r="DC695" s="439"/>
    </row>
    <row r="696" spans="107:107" s="32" customFormat="1" ht="12.75" x14ac:dyDescent="0.2">
      <c r="DC696" s="439"/>
    </row>
    <row r="697" spans="107:107" s="32" customFormat="1" ht="12.75" x14ac:dyDescent="0.2">
      <c r="DC697" s="439"/>
    </row>
    <row r="698" spans="107:107" s="32" customFormat="1" ht="12.75" x14ac:dyDescent="0.2">
      <c r="DC698" s="439"/>
    </row>
    <row r="699" spans="107:107" s="32" customFormat="1" ht="12.75" x14ac:dyDescent="0.2">
      <c r="DC699" s="439"/>
    </row>
    <row r="700" spans="107:107" s="32" customFormat="1" ht="12.75" x14ac:dyDescent="0.2">
      <c r="DC700" s="439"/>
    </row>
    <row r="701" spans="107:107" s="32" customFormat="1" ht="12.75" x14ac:dyDescent="0.2">
      <c r="DC701" s="439"/>
    </row>
    <row r="702" spans="107:107" s="32" customFormat="1" ht="12.75" x14ac:dyDescent="0.2">
      <c r="DC702" s="439"/>
    </row>
    <row r="703" spans="107:107" s="32" customFormat="1" ht="12.75" x14ac:dyDescent="0.2">
      <c r="DC703" s="439"/>
    </row>
    <row r="704" spans="107:107" s="32" customFormat="1" ht="12.75" x14ac:dyDescent="0.2">
      <c r="DC704" s="439"/>
    </row>
    <row r="705" spans="107:107" s="32" customFormat="1" ht="12.75" x14ac:dyDescent="0.2">
      <c r="DC705" s="439"/>
    </row>
    <row r="706" spans="107:107" s="32" customFormat="1" ht="12.75" x14ac:dyDescent="0.2">
      <c r="DC706" s="439"/>
    </row>
    <row r="707" spans="107:107" s="32" customFormat="1" ht="12.75" x14ac:dyDescent="0.2">
      <c r="DC707" s="439"/>
    </row>
    <row r="708" spans="107:107" s="32" customFormat="1" ht="12.75" x14ac:dyDescent="0.2">
      <c r="DC708" s="439"/>
    </row>
    <row r="709" spans="107:107" s="32" customFormat="1" ht="12.75" x14ac:dyDescent="0.2">
      <c r="DC709" s="439"/>
    </row>
    <row r="710" spans="107:107" s="32" customFormat="1" ht="12.75" x14ac:dyDescent="0.2">
      <c r="DC710" s="439"/>
    </row>
    <row r="711" spans="107:107" s="32" customFormat="1" ht="12.75" x14ac:dyDescent="0.2">
      <c r="DC711" s="439"/>
    </row>
    <row r="712" spans="107:107" s="32" customFormat="1" ht="12.75" x14ac:dyDescent="0.2">
      <c r="DC712" s="439"/>
    </row>
    <row r="713" spans="107:107" s="32" customFormat="1" ht="12.75" x14ac:dyDescent="0.2">
      <c r="DC713" s="439"/>
    </row>
    <row r="714" spans="107:107" s="32" customFormat="1" ht="12.75" x14ac:dyDescent="0.2">
      <c r="DC714" s="439"/>
    </row>
    <row r="715" spans="107:107" s="32" customFormat="1" ht="12.75" x14ac:dyDescent="0.2">
      <c r="DC715" s="439"/>
    </row>
    <row r="716" spans="107:107" s="32" customFormat="1" ht="12.75" x14ac:dyDescent="0.2">
      <c r="DC716" s="439"/>
    </row>
    <row r="717" spans="107:107" s="32" customFormat="1" ht="12.75" x14ac:dyDescent="0.2">
      <c r="DC717" s="439"/>
    </row>
    <row r="718" spans="107:107" s="32" customFormat="1" ht="12.75" x14ac:dyDescent="0.2">
      <c r="DC718" s="439"/>
    </row>
    <row r="719" spans="107:107" s="32" customFormat="1" ht="12.75" x14ac:dyDescent="0.2">
      <c r="DC719" s="439"/>
    </row>
    <row r="720" spans="107:107" s="32" customFormat="1" ht="12.75" x14ac:dyDescent="0.2">
      <c r="DC720" s="439"/>
    </row>
    <row r="721" spans="107:107" s="32" customFormat="1" ht="12.75" x14ac:dyDescent="0.2">
      <c r="DC721" s="439"/>
    </row>
    <row r="722" spans="107:107" s="32" customFormat="1" ht="12.75" x14ac:dyDescent="0.2">
      <c r="DC722" s="439"/>
    </row>
    <row r="723" spans="107:107" s="32" customFormat="1" ht="12.75" x14ac:dyDescent="0.2">
      <c r="DC723" s="439"/>
    </row>
    <row r="724" spans="107:107" s="32" customFormat="1" ht="12.75" x14ac:dyDescent="0.2">
      <c r="DC724" s="439"/>
    </row>
    <row r="725" spans="107:107" s="32" customFormat="1" ht="12.75" x14ac:dyDescent="0.2">
      <c r="DC725" s="439"/>
    </row>
    <row r="726" spans="107:107" s="32" customFormat="1" ht="12.75" x14ac:dyDescent="0.2">
      <c r="DC726" s="439"/>
    </row>
    <row r="727" spans="107:107" s="32" customFormat="1" ht="12.75" x14ac:dyDescent="0.2">
      <c r="DC727" s="439"/>
    </row>
    <row r="728" spans="107:107" s="32" customFormat="1" ht="12.75" x14ac:dyDescent="0.2">
      <c r="DC728" s="439"/>
    </row>
    <row r="729" spans="107:107" s="32" customFormat="1" ht="12.75" x14ac:dyDescent="0.2">
      <c r="DC729" s="439"/>
    </row>
    <row r="730" spans="107:107" s="32" customFormat="1" ht="12.75" x14ac:dyDescent="0.2">
      <c r="DC730" s="439"/>
    </row>
    <row r="731" spans="107:107" s="32" customFormat="1" ht="12.75" x14ac:dyDescent="0.2">
      <c r="DC731" s="439"/>
    </row>
    <row r="732" spans="107:107" s="32" customFormat="1" ht="12.75" x14ac:dyDescent="0.2">
      <c r="DC732" s="439"/>
    </row>
    <row r="733" spans="107:107" s="32" customFormat="1" ht="12.75" x14ac:dyDescent="0.2">
      <c r="DC733" s="439"/>
    </row>
    <row r="734" spans="107:107" s="32" customFormat="1" ht="12.75" x14ac:dyDescent="0.2">
      <c r="DC734" s="439"/>
    </row>
    <row r="735" spans="107:107" s="32" customFormat="1" ht="12.75" x14ac:dyDescent="0.2">
      <c r="DC735" s="439"/>
    </row>
    <row r="736" spans="107:107" s="32" customFormat="1" ht="12.75" x14ac:dyDescent="0.2">
      <c r="DC736" s="439"/>
    </row>
    <row r="737" spans="107:107" s="32" customFormat="1" ht="12.75" x14ac:dyDescent="0.2">
      <c r="DC737" s="439"/>
    </row>
    <row r="738" spans="107:107" s="32" customFormat="1" ht="12.75" x14ac:dyDescent="0.2">
      <c r="DC738" s="439"/>
    </row>
    <row r="739" spans="107:107" s="32" customFormat="1" ht="12.75" x14ac:dyDescent="0.2">
      <c r="DC739" s="439"/>
    </row>
    <row r="740" spans="107:107" s="32" customFormat="1" ht="12.75" x14ac:dyDescent="0.2">
      <c r="DC740" s="439"/>
    </row>
    <row r="741" spans="107:107" s="32" customFormat="1" ht="12.75" x14ac:dyDescent="0.2">
      <c r="DC741" s="439"/>
    </row>
    <row r="742" spans="107:107" s="32" customFormat="1" ht="12.75" x14ac:dyDescent="0.2">
      <c r="DC742" s="439"/>
    </row>
    <row r="743" spans="107:107" s="32" customFormat="1" ht="12.75" x14ac:dyDescent="0.2">
      <c r="DC743" s="439"/>
    </row>
    <row r="744" spans="107:107" s="32" customFormat="1" ht="12.75" x14ac:dyDescent="0.2">
      <c r="DC744" s="439"/>
    </row>
    <row r="745" spans="107:107" s="32" customFormat="1" ht="12.75" x14ac:dyDescent="0.2">
      <c r="DC745" s="439"/>
    </row>
    <row r="746" spans="107:107" s="32" customFormat="1" ht="12.75" x14ac:dyDescent="0.2">
      <c r="DC746" s="439"/>
    </row>
    <row r="747" spans="107:107" s="32" customFormat="1" ht="12.75" x14ac:dyDescent="0.2">
      <c r="DC747" s="439"/>
    </row>
    <row r="748" spans="107:107" s="32" customFormat="1" ht="12.75" x14ac:dyDescent="0.2">
      <c r="DC748" s="439"/>
    </row>
    <row r="749" spans="107:107" s="32" customFormat="1" ht="12.75" x14ac:dyDescent="0.2">
      <c r="DC749" s="439"/>
    </row>
    <row r="750" spans="107:107" s="32" customFormat="1" ht="12.75" x14ac:dyDescent="0.2">
      <c r="DC750" s="439"/>
    </row>
    <row r="751" spans="107:107" s="32" customFormat="1" ht="12.75" x14ac:dyDescent="0.2">
      <c r="DC751" s="439"/>
    </row>
    <row r="752" spans="107:107" s="32" customFormat="1" ht="12.75" x14ac:dyDescent="0.2">
      <c r="DC752" s="439"/>
    </row>
    <row r="753" spans="107:107" s="32" customFormat="1" ht="12.75" x14ac:dyDescent="0.2">
      <c r="DC753" s="439"/>
    </row>
    <row r="754" spans="107:107" s="32" customFormat="1" ht="12.75" x14ac:dyDescent="0.2">
      <c r="DC754" s="439"/>
    </row>
    <row r="755" spans="107:107" s="32" customFormat="1" ht="12.75" x14ac:dyDescent="0.2">
      <c r="DC755" s="439"/>
    </row>
    <row r="756" spans="107:107" s="32" customFormat="1" ht="12.75" x14ac:dyDescent="0.2">
      <c r="DC756" s="439"/>
    </row>
    <row r="757" spans="107:107" s="32" customFormat="1" ht="12.75" x14ac:dyDescent="0.2">
      <c r="DC757" s="439"/>
    </row>
    <row r="758" spans="107:107" s="32" customFormat="1" ht="12.75" x14ac:dyDescent="0.2">
      <c r="DC758" s="439"/>
    </row>
    <row r="759" spans="107:107" s="32" customFormat="1" ht="12.75" x14ac:dyDescent="0.2">
      <c r="DC759" s="439"/>
    </row>
    <row r="760" spans="107:107" s="32" customFormat="1" ht="12.75" x14ac:dyDescent="0.2">
      <c r="DC760" s="439"/>
    </row>
    <row r="761" spans="107:107" s="32" customFormat="1" ht="12.75" x14ac:dyDescent="0.2">
      <c r="DC761" s="439"/>
    </row>
    <row r="762" spans="107:107" s="32" customFormat="1" ht="12.75" x14ac:dyDescent="0.2">
      <c r="DC762" s="439"/>
    </row>
    <row r="763" spans="107:107" s="32" customFormat="1" ht="12.75" x14ac:dyDescent="0.2">
      <c r="DC763" s="439"/>
    </row>
    <row r="764" spans="107:107" s="32" customFormat="1" ht="12.75" x14ac:dyDescent="0.2">
      <c r="DC764" s="439"/>
    </row>
    <row r="765" spans="107:107" s="32" customFormat="1" ht="12.75" x14ac:dyDescent="0.2">
      <c r="DC765" s="439"/>
    </row>
    <row r="766" spans="107:107" s="32" customFormat="1" ht="12.75" x14ac:dyDescent="0.2">
      <c r="DC766" s="439"/>
    </row>
    <row r="767" spans="107:107" s="32" customFormat="1" ht="12.75" x14ac:dyDescent="0.2">
      <c r="DC767" s="439"/>
    </row>
    <row r="768" spans="107:107" s="32" customFormat="1" ht="12.75" x14ac:dyDescent="0.2">
      <c r="DC768" s="439"/>
    </row>
    <row r="769" spans="107:107" s="32" customFormat="1" ht="12.75" x14ac:dyDescent="0.2">
      <c r="DC769" s="439"/>
    </row>
    <row r="770" spans="107:107" s="32" customFormat="1" ht="12.75" x14ac:dyDescent="0.2">
      <c r="DC770" s="439"/>
    </row>
    <row r="771" spans="107:107" s="32" customFormat="1" ht="12.75" x14ac:dyDescent="0.2">
      <c r="DC771" s="439"/>
    </row>
    <row r="772" spans="107:107" s="32" customFormat="1" ht="12.75" x14ac:dyDescent="0.2">
      <c r="DC772" s="439"/>
    </row>
    <row r="773" spans="107:107" s="32" customFormat="1" ht="12.75" x14ac:dyDescent="0.2">
      <c r="DC773" s="439"/>
    </row>
    <row r="774" spans="107:107" s="32" customFormat="1" ht="12.75" x14ac:dyDescent="0.2">
      <c r="DC774" s="439"/>
    </row>
    <row r="775" spans="107:107" s="32" customFormat="1" ht="12.75" x14ac:dyDescent="0.2">
      <c r="DC775" s="439"/>
    </row>
    <row r="776" spans="107:107" s="32" customFormat="1" ht="12.75" x14ac:dyDescent="0.2">
      <c r="DC776" s="439"/>
    </row>
    <row r="777" spans="107:107" s="32" customFormat="1" ht="12.75" x14ac:dyDescent="0.2">
      <c r="DC777" s="439"/>
    </row>
    <row r="778" spans="107:107" s="32" customFormat="1" ht="12.75" x14ac:dyDescent="0.2">
      <c r="DC778" s="439"/>
    </row>
    <row r="779" spans="107:107" s="32" customFormat="1" ht="12.75" x14ac:dyDescent="0.2">
      <c r="DC779" s="439"/>
    </row>
    <row r="780" spans="107:107" s="32" customFormat="1" ht="12.75" x14ac:dyDescent="0.2">
      <c r="DC780" s="439"/>
    </row>
    <row r="781" spans="107:107" s="32" customFormat="1" ht="12.75" x14ac:dyDescent="0.2">
      <c r="DC781" s="439"/>
    </row>
    <row r="782" spans="107:107" s="32" customFormat="1" ht="12.75" x14ac:dyDescent="0.2">
      <c r="DC782" s="439"/>
    </row>
    <row r="783" spans="107:107" s="32" customFormat="1" ht="12.75" x14ac:dyDescent="0.2">
      <c r="DC783" s="439"/>
    </row>
    <row r="784" spans="107:107" s="32" customFormat="1" ht="12.75" x14ac:dyDescent="0.2">
      <c r="DC784" s="439"/>
    </row>
    <row r="785" spans="107:107" s="32" customFormat="1" ht="12.75" x14ac:dyDescent="0.2">
      <c r="DC785" s="439"/>
    </row>
    <row r="786" spans="107:107" s="32" customFormat="1" ht="12.75" x14ac:dyDescent="0.2">
      <c r="DC786" s="439"/>
    </row>
    <row r="787" spans="107:107" s="32" customFormat="1" ht="12.75" x14ac:dyDescent="0.2">
      <c r="DC787" s="439"/>
    </row>
    <row r="788" spans="107:107" s="32" customFormat="1" ht="12.75" x14ac:dyDescent="0.2">
      <c r="DC788" s="439"/>
    </row>
    <row r="789" spans="107:107" s="32" customFormat="1" ht="12.75" x14ac:dyDescent="0.2">
      <c r="DC789" s="439"/>
    </row>
    <row r="790" spans="107:107" s="32" customFormat="1" ht="12.75" x14ac:dyDescent="0.2">
      <c r="DC790" s="439"/>
    </row>
    <row r="791" spans="107:107" s="32" customFormat="1" ht="12.75" x14ac:dyDescent="0.2">
      <c r="DC791" s="439"/>
    </row>
    <row r="792" spans="107:107" s="32" customFormat="1" ht="12.75" x14ac:dyDescent="0.2">
      <c r="DC792" s="439"/>
    </row>
    <row r="793" spans="107:107" s="32" customFormat="1" ht="12.75" x14ac:dyDescent="0.2">
      <c r="DC793" s="439"/>
    </row>
    <row r="794" spans="107:107" s="32" customFormat="1" ht="12.75" x14ac:dyDescent="0.2">
      <c r="DC794" s="439"/>
    </row>
    <row r="795" spans="107:107" s="32" customFormat="1" ht="12.75" x14ac:dyDescent="0.2">
      <c r="DC795" s="439"/>
    </row>
    <row r="796" spans="107:107" s="32" customFormat="1" ht="12.75" x14ac:dyDescent="0.2">
      <c r="DC796" s="439"/>
    </row>
    <row r="797" spans="107:107" s="32" customFormat="1" ht="12.75" x14ac:dyDescent="0.2">
      <c r="DC797" s="439"/>
    </row>
    <row r="798" spans="107:107" s="32" customFormat="1" ht="12.75" x14ac:dyDescent="0.2">
      <c r="DC798" s="439"/>
    </row>
    <row r="799" spans="107:107" s="32" customFormat="1" ht="12.75" x14ac:dyDescent="0.2">
      <c r="DC799" s="439"/>
    </row>
    <row r="800" spans="107:107" s="32" customFormat="1" ht="12.75" x14ac:dyDescent="0.2">
      <c r="DC800" s="439"/>
    </row>
    <row r="801" spans="107:107" s="32" customFormat="1" ht="12.75" x14ac:dyDescent="0.2">
      <c r="DC801" s="439"/>
    </row>
    <row r="802" spans="107:107" s="32" customFormat="1" ht="12.75" x14ac:dyDescent="0.2">
      <c r="DC802" s="439"/>
    </row>
    <row r="803" spans="107:107" s="32" customFormat="1" ht="12.75" x14ac:dyDescent="0.2">
      <c r="DC803" s="439"/>
    </row>
    <row r="804" spans="107:107" s="32" customFormat="1" ht="12.75" x14ac:dyDescent="0.2">
      <c r="DC804" s="439"/>
    </row>
    <row r="805" spans="107:107" s="32" customFormat="1" ht="12.75" x14ac:dyDescent="0.2">
      <c r="DC805" s="439"/>
    </row>
    <row r="806" spans="107:107" s="32" customFormat="1" ht="12.75" x14ac:dyDescent="0.2">
      <c r="DC806" s="439"/>
    </row>
    <row r="807" spans="107:107" s="32" customFormat="1" ht="12.75" x14ac:dyDescent="0.2">
      <c r="DC807" s="439"/>
    </row>
    <row r="808" spans="107:107" s="32" customFormat="1" ht="12.75" x14ac:dyDescent="0.2">
      <c r="DC808" s="439"/>
    </row>
    <row r="809" spans="107:107" s="32" customFormat="1" ht="12.75" x14ac:dyDescent="0.2">
      <c r="DC809" s="439"/>
    </row>
    <row r="810" spans="107:107" s="32" customFormat="1" ht="12.75" x14ac:dyDescent="0.2">
      <c r="DC810" s="439"/>
    </row>
    <row r="811" spans="107:107" s="32" customFormat="1" ht="12.75" x14ac:dyDescent="0.2">
      <c r="DC811" s="439"/>
    </row>
    <row r="812" spans="107:107" s="32" customFormat="1" ht="12.75" x14ac:dyDescent="0.2">
      <c r="DC812" s="439"/>
    </row>
    <row r="813" spans="107:107" s="32" customFormat="1" ht="12.75" x14ac:dyDescent="0.2">
      <c r="DC813" s="439"/>
    </row>
    <row r="814" spans="107:107" s="32" customFormat="1" ht="12.75" x14ac:dyDescent="0.2">
      <c r="DC814" s="439"/>
    </row>
    <row r="815" spans="107:107" s="32" customFormat="1" ht="12.75" x14ac:dyDescent="0.2">
      <c r="DC815" s="439"/>
    </row>
    <row r="816" spans="107:107" s="32" customFormat="1" ht="12.75" x14ac:dyDescent="0.2">
      <c r="DC816" s="439"/>
    </row>
    <row r="817" spans="107:107" s="32" customFormat="1" ht="12.75" x14ac:dyDescent="0.2">
      <c r="DC817" s="439"/>
    </row>
    <row r="818" spans="107:107" s="32" customFormat="1" ht="12.75" x14ac:dyDescent="0.2">
      <c r="DC818" s="439"/>
    </row>
    <row r="819" spans="107:107" s="32" customFormat="1" ht="12.75" x14ac:dyDescent="0.2">
      <c r="DC819" s="439"/>
    </row>
    <row r="820" spans="107:107" s="32" customFormat="1" ht="12.75" x14ac:dyDescent="0.2">
      <c r="DC820" s="439"/>
    </row>
    <row r="821" spans="107:107" s="32" customFormat="1" ht="12.75" x14ac:dyDescent="0.2">
      <c r="DC821" s="439"/>
    </row>
    <row r="822" spans="107:107" s="32" customFormat="1" ht="12.75" x14ac:dyDescent="0.2">
      <c r="DC822" s="439"/>
    </row>
    <row r="823" spans="107:107" s="32" customFormat="1" ht="12.75" x14ac:dyDescent="0.2">
      <c r="DC823" s="439"/>
    </row>
    <row r="824" spans="107:107" s="32" customFormat="1" ht="12.75" x14ac:dyDescent="0.2">
      <c r="DC824" s="439"/>
    </row>
    <row r="825" spans="107:107" s="32" customFormat="1" ht="12.75" x14ac:dyDescent="0.2">
      <c r="DC825" s="439"/>
    </row>
    <row r="826" spans="107:107" s="32" customFormat="1" ht="12.75" x14ac:dyDescent="0.2">
      <c r="DC826" s="439"/>
    </row>
    <row r="827" spans="107:107" s="32" customFormat="1" ht="12.75" x14ac:dyDescent="0.2">
      <c r="DC827" s="439"/>
    </row>
    <row r="828" spans="107:107" s="32" customFormat="1" ht="12.75" x14ac:dyDescent="0.2">
      <c r="DC828" s="439"/>
    </row>
    <row r="829" spans="107:107" s="32" customFormat="1" ht="12.75" x14ac:dyDescent="0.2">
      <c r="DC829" s="439"/>
    </row>
    <row r="830" spans="107:107" s="32" customFormat="1" ht="12.75" x14ac:dyDescent="0.2">
      <c r="DC830" s="439"/>
    </row>
    <row r="831" spans="107:107" s="32" customFormat="1" ht="12.75" x14ac:dyDescent="0.2">
      <c r="DC831" s="439"/>
    </row>
    <row r="832" spans="107:107" s="32" customFormat="1" ht="12.75" x14ac:dyDescent="0.2">
      <c r="DC832" s="439"/>
    </row>
    <row r="833" spans="107:107" s="32" customFormat="1" ht="12.75" x14ac:dyDescent="0.2">
      <c r="DC833" s="439"/>
    </row>
    <row r="834" spans="107:107" s="32" customFormat="1" ht="12.75" x14ac:dyDescent="0.2">
      <c r="DC834" s="439"/>
    </row>
    <row r="835" spans="107:107" s="32" customFormat="1" ht="12.75" x14ac:dyDescent="0.2">
      <c r="DC835" s="439"/>
    </row>
    <row r="836" spans="107:107" s="32" customFormat="1" ht="12.75" x14ac:dyDescent="0.2">
      <c r="DC836" s="439"/>
    </row>
    <row r="837" spans="107:107" s="32" customFormat="1" ht="12.75" x14ac:dyDescent="0.2">
      <c r="DC837" s="439"/>
    </row>
    <row r="838" spans="107:107" s="32" customFormat="1" ht="12.75" x14ac:dyDescent="0.2">
      <c r="DC838" s="439"/>
    </row>
    <row r="839" spans="107:107" s="32" customFormat="1" ht="12.75" x14ac:dyDescent="0.2">
      <c r="DC839" s="439"/>
    </row>
    <row r="840" spans="107:107" s="32" customFormat="1" ht="12.75" x14ac:dyDescent="0.2">
      <c r="DC840" s="439"/>
    </row>
    <row r="841" spans="107:107" s="32" customFormat="1" ht="12.75" x14ac:dyDescent="0.2">
      <c r="DC841" s="439"/>
    </row>
    <row r="842" spans="107:107" s="32" customFormat="1" ht="12.75" x14ac:dyDescent="0.2">
      <c r="DC842" s="439"/>
    </row>
    <row r="843" spans="107:107" s="32" customFormat="1" ht="12.75" x14ac:dyDescent="0.2">
      <c r="DC843" s="439"/>
    </row>
    <row r="844" spans="107:107" s="32" customFormat="1" ht="12.75" x14ac:dyDescent="0.2">
      <c r="DC844" s="439"/>
    </row>
    <row r="845" spans="107:107" s="32" customFormat="1" ht="12.75" x14ac:dyDescent="0.2">
      <c r="DC845" s="439"/>
    </row>
    <row r="846" spans="107:107" s="32" customFormat="1" ht="12.75" x14ac:dyDescent="0.2">
      <c r="DC846" s="439"/>
    </row>
    <row r="847" spans="107:107" s="32" customFormat="1" ht="12.75" x14ac:dyDescent="0.2">
      <c r="DC847" s="439"/>
    </row>
    <row r="848" spans="107:107" s="32" customFormat="1" ht="12.75" x14ac:dyDescent="0.2">
      <c r="DC848" s="439"/>
    </row>
    <row r="849" spans="107:107" s="32" customFormat="1" ht="12.75" x14ac:dyDescent="0.2">
      <c r="DC849" s="439"/>
    </row>
    <row r="850" spans="107:107" s="32" customFormat="1" ht="12.75" x14ac:dyDescent="0.2">
      <c r="DC850" s="439"/>
    </row>
    <row r="851" spans="107:107" s="32" customFormat="1" ht="12.75" x14ac:dyDescent="0.2">
      <c r="DC851" s="439"/>
    </row>
    <row r="852" spans="107:107" s="32" customFormat="1" ht="12.75" x14ac:dyDescent="0.2">
      <c r="DC852" s="439"/>
    </row>
    <row r="853" spans="107:107" s="32" customFormat="1" ht="12.75" x14ac:dyDescent="0.2">
      <c r="DC853" s="439"/>
    </row>
    <row r="854" spans="107:107" s="32" customFormat="1" ht="12.75" x14ac:dyDescent="0.2">
      <c r="DC854" s="439"/>
    </row>
    <row r="855" spans="107:107" s="32" customFormat="1" ht="12.75" x14ac:dyDescent="0.2">
      <c r="DC855" s="439"/>
    </row>
    <row r="856" spans="107:107" s="32" customFormat="1" ht="12.75" x14ac:dyDescent="0.2">
      <c r="DC856" s="439"/>
    </row>
    <row r="857" spans="107:107" s="32" customFormat="1" ht="12.75" x14ac:dyDescent="0.2">
      <c r="DC857" s="439"/>
    </row>
    <row r="858" spans="107:107" s="32" customFormat="1" ht="12.75" x14ac:dyDescent="0.2">
      <c r="DC858" s="439"/>
    </row>
    <row r="859" spans="107:107" s="32" customFormat="1" ht="12.75" x14ac:dyDescent="0.2">
      <c r="DC859" s="439"/>
    </row>
    <row r="860" spans="107:107" s="32" customFormat="1" ht="12.75" x14ac:dyDescent="0.2">
      <c r="DC860" s="439"/>
    </row>
    <row r="861" spans="107:107" s="32" customFormat="1" ht="12.75" x14ac:dyDescent="0.2">
      <c r="DC861" s="439"/>
    </row>
    <row r="862" spans="107:107" s="32" customFormat="1" ht="12.75" x14ac:dyDescent="0.2">
      <c r="DC862" s="439"/>
    </row>
    <row r="863" spans="107:107" s="32" customFormat="1" ht="12.75" x14ac:dyDescent="0.2">
      <c r="DC863" s="439"/>
    </row>
    <row r="864" spans="107:107" s="32" customFormat="1" ht="12.75" x14ac:dyDescent="0.2">
      <c r="DC864" s="439"/>
    </row>
    <row r="865" spans="107:107" s="32" customFormat="1" ht="12.75" x14ac:dyDescent="0.2">
      <c r="DC865" s="439"/>
    </row>
    <row r="866" spans="107:107" s="32" customFormat="1" ht="12.75" x14ac:dyDescent="0.2">
      <c r="DC866" s="439"/>
    </row>
    <row r="867" spans="107:107" s="32" customFormat="1" ht="12.75" x14ac:dyDescent="0.2">
      <c r="DC867" s="439"/>
    </row>
    <row r="868" spans="107:107" s="32" customFormat="1" ht="12.75" x14ac:dyDescent="0.2">
      <c r="DC868" s="439"/>
    </row>
    <row r="869" spans="107:107" s="32" customFormat="1" ht="12.75" x14ac:dyDescent="0.2">
      <c r="DC869" s="439"/>
    </row>
    <row r="870" spans="107:107" s="32" customFormat="1" ht="12.75" x14ac:dyDescent="0.2">
      <c r="DC870" s="439"/>
    </row>
    <row r="871" spans="107:107" s="32" customFormat="1" ht="12.75" x14ac:dyDescent="0.2">
      <c r="DC871" s="439"/>
    </row>
    <row r="872" spans="107:107" s="32" customFormat="1" ht="12.75" x14ac:dyDescent="0.2">
      <c r="DC872" s="439"/>
    </row>
    <row r="873" spans="107:107" s="32" customFormat="1" ht="12.75" x14ac:dyDescent="0.2">
      <c r="DC873" s="439"/>
    </row>
    <row r="874" spans="107:107" s="32" customFormat="1" ht="12.75" x14ac:dyDescent="0.2">
      <c r="DC874" s="439"/>
    </row>
    <row r="875" spans="107:107" s="32" customFormat="1" ht="12.75" x14ac:dyDescent="0.2">
      <c r="DC875" s="439"/>
    </row>
    <row r="876" spans="107:107" s="32" customFormat="1" ht="12.75" x14ac:dyDescent="0.2">
      <c r="DC876" s="439"/>
    </row>
    <row r="877" spans="107:107" s="32" customFormat="1" ht="12.75" x14ac:dyDescent="0.2">
      <c r="DC877" s="439"/>
    </row>
    <row r="878" spans="107:107" s="32" customFormat="1" ht="12.75" x14ac:dyDescent="0.2">
      <c r="DC878" s="439"/>
    </row>
    <row r="879" spans="107:107" s="32" customFormat="1" ht="12.75" x14ac:dyDescent="0.2">
      <c r="DC879" s="439"/>
    </row>
    <row r="880" spans="107:107" s="32" customFormat="1" ht="12.75" x14ac:dyDescent="0.2">
      <c r="DC880" s="439"/>
    </row>
    <row r="881" spans="107:107" s="32" customFormat="1" ht="12.75" x14ac:dyDescent="0.2">
      <c r="DC881" s="439"/>
    </row>
    <row r="882" spans="107:107" s="32" customFormat="1" ht="12.75" x14ac:dyDescent="0.2">
      <c r="DC882" s="439"/>
    </row>
    <row r="883" spans="107:107" s="32" customFormat="1" ht="12.75" x14ac:dyDescent="0.2">
      <c r="DC883" s="439"/>
    </row>
    <row r="884" spans="107:107" s="32" customFormat="1" ht="12.75" x14ac:dyDescent="0.2">
      <c r="DC884" s="439"/>
    </row>
    <row r="885" spans="107:107" s="32" customFormat="1" ht="12.75" x14ac:dyDescent="0.2">
      <c r="DC885" s="439"/>
    </row>
    <row r="886" spans="107:107" s="32" customFormat="1" ht="12.75" x14ac:dyDescent="0.2">
      <c r="DC886" s="439"/>
    </row>
    <row r="887" spans="107:107" s="32" customFormat="1" ht="12.75" x14ac:dyDescent="0.2">
      <c r="DC887" s="439"/>
    </row>
    <row r="888" spans="107:107" s="32" customFormat="1" ht="12.75" x14ac:dyDescent="0.2">
      <c r="DC888" s="439"/>
    </row>
    <row r="889" spans="107:107" s="32" customFormat="1" ht="12.75" x14ac:dyDescent="0.2">
      <c r="DC889" s="439"/>
    </row>
    <row r="890" spans="107:107" s="32" customFormat="1" ht="12.75" x14ac:dyDescent="0.2">
      <c r="DC890" s="439"/>
    </row>
    <row r="891" spans="107:107" s="32" customFormat="1" ht="12.75" x14ac:dyDescent="0.2">
      <c r="DC891" s="439"/>
    </row>
    <row r="892" spans="107:107" s="32" customFormat="1" ht="12.75" x14ac:dyDescent="0.2">
      <c r="DC892" s="439"/>
    </row>
    <row r="893" spans="107:107" s="32" customFormat="1" ht="12.75" x14ac:dyDescent="0.2">
      <c r="DC893" s="439"/>
    </row>
    <row r="894" spans="107:107" s="32" customFormat="1" ht="12.75" x14ac:dyDescent="0.2">
      <c r="DC894" s="439"/>
    </row>
    <row r="895" spans="107:107" s="32" customFormat="1" ht="12.75" x14ac:dyDescent="0.2">
      <c r="DC895" s="439"/>
    </row>
    <row r="896" spans="107:107" s="32" customFormat="1" ht="12.75" x14ac:dyDescent="0.2">
      <c r="DC896" s="439"/>
    </row>
    <row r="897" spans="107:107" s="32" customFormat="1" ht="12.75" x14ac:dyDescent="0.2">
      <c r="DC897" s="439"/>
    </row>
    <row r="898" spans="107:107" s="32" customFormat="1" ht="12.75" x14ac:dyDescent="0.2">
      <c r="DC898" s="439"/>
    </row>
    <row r="899" spans="107:107" s="32" customFormat="1" ht="12.75" x14ac:dyDescent="0.2">
      <c r="DC899" s="439"/>
    </row>
    <row r="900" spans="107:107" s="32" customFormat="1" ht="12.75" x14ac:dyDescent="0.2">
      <c r="DC900" s="439"/>
    </row>
    <row r="901" spans="107:107" s="32" customFormat="1" ht="12.75" x14ac:dyDescent="0.2">
      <c r="DC901" s="439"/>
    </row>
    <row r="902" spans="107:107" s="32" customFormat="1" ht="12.75" x14ac:dyDescent="0.2">
      <c r="DC902" s="439"/>
    </row>
    <row r="903" spans="107:107" s="32" customFormat="1" ht="12.75" x14ac:dyDescent="0.2">
      <c r="DC903" s="439"/>
    </row>
    <row r="904" spans="107:107" s="32" customFormat="1" ht="12.75" x14ac:dyDescent="0.2">
      <c r="DC904" s="439"/>
    </row>
    <row r="905" spans="107:107" s="32" customFormat="1" ht="12.75" x14ac:dyDescent="0.2">
      <c r="DC905" s="439"/>
    </row>
    <row r="906" spans="107:107" s="32" customFormat="1" ht="12.75" x14ac:dyDescent="0.2">
      <c r="DC906" s="439"/>
    </row>
    <row r="907" spans="107:107" s="32" customFormat="1" ht="12.75" x14ac:dyDescent="0.2">
      <c r="DC907" s="439"/>
    </row>
    <row r="908" spans="107:107" s="32" customFormat="1" ht="12.75" x14ac:dyDescent="0.2">
      <c r="DC908" s="439"/>
    </row>
    <row r="909" spans="107:107" s="32" customFormat="1" ht="12.75" x14ac:dyDescent="0.2">
      <c r="DC909" s="439"/>
    </row>
    <row r="910" spans="107:107" s="32" customFormat="1" ht="12.75" x14ac:dyDescent="0.2">
      <c r="DC910" s="439"/>
    </row>
    <row r="911" spans="107:107" s="32" customFormat="1" ht="12.75" x14ac:dyDescent="0.2">
      <c r="DC911" s="439"/>
    </row>
    <row r="912" spans="107:107" s="32" customFormat="1" ht="12.75" x14ac:dyDescent="0.2">
      <c r="DC912" s="439"/>
    </row>
    <row r="913" spans="107:107" s="32" customFormat="1" ht="12.75" x14ac:dyDescent="0.2">
      <c r="DC913" s="439"/>
    </row>
    <row r="914" spans="107:107" s="32" customFormat="1" ht="12.75" x14ac:dyDescent="0.2">
      <c r="DC914" s="439"/>
    </row>
    <row r="915" spans="107:107" s="32" customFormat="1" ht="12.75" x14ac:dyDescent="0.2">
      <c r="DC915" s="439"/>
    </row>
    <row r="916" spans="107:107" s="32" customFormat="1" ht="12.75" x14ac:dyDescent="0.2">
      <c r="DC916" s="439"/>
    </row>
    <row r="917" spans="107:107" s="32" customFormat="1" ht="12.75" x14ac:dyDescent="0.2">
      <c r="DC917" s="439"/>
    </row>
    <row r="918" spans="107:107" s="32" customFormat="1" ht="12.75" x14ac:dyDescent="0.2">
      <c r="DC918" s="439"/>
    </row>
    <row r="919" spans="107:107" s="32" customFormat="1" ht="12.75" x14ac:dyDescent="0.2">
      <c r="DC919" s="439"/>
    </row>
    <row r="920" spans="107:107" s="32" customFormat="1" ht="12.75" x14ac:dyDescent="0.2">
      <c r="DC920" s="439"/>
    </row>
    <row r="921" spans="107:107" s="32" customFormat="1" ht="12.75" x14ac:dyDescent="0.2">
      <c r="DC921" s="439"/>
    </row>
    <row r="922" spans="107:107" s="32" customFormat="1" ht="12.75" x14ac:dyDescent="0.2">
      <c r="DC922" s="439"/>
    </row>
    <row r="923" spans="107:107" s="32" customFormat="1" ht="12.75" x14ac:dyDescent="0.2">
      <c r="DC923" s="439"/>
    </row>
    <row r="924" spans="107:107" s="32" customFormat="1" ht="12.75" x14ac:dyDescent="0.2">
      <c r="DC924" s="439"/>
    </row>
    <row r="925" spans="107:107" s="32" customFormat="1" ht="12.75" x14ac:dyDescent="0.2">
      <c r="DC925" s="439"/>
    </row>
    <row r="926" spans="107:107" s="32" customFormat="1" ht="12.75" x14ac:dyDescent="0.2">
      <c r="DC926" s="439"/>
    </row>
    <row r="927" spans="107:107" s="32" customFormat="1" ht="12.75" x14ac:dyDescent="0.2">
      <c r="DC927" s="439"/>
    </row>
    <row r="928" spans="107:107" s="32" customFormat="1" ht="12.75" x14ac:dyDescent="0.2">
      <c r="DC928" s="439"/>
    </row>
    <row r="929" spans="107:107" s="32" customFormat="1" ht="12.75" x14ac:dyDescent="0.2">
      <c r="DC929" s="439"/>
    </row>
    <row r="930" spans="107:107" s="32" customFormat="1" ht="12.75" x14ac:dyDescent="0.2">
      <c r="DC930" s="439"/>
    </row>
    <row r="931" spans="107:107" s="32" customFormat="1" ht="12.75" x14ac:dyDescent="0.2">
      <c r="DC931" s="439"/>
    </row>
    <row r="932" spans="107:107" s="32" customFormat="1" ht="12.75" x14ac:dyDescent="0.2">
      <c r="DC932" s="439"/>
    </row>
    <row r="933" spans="107:107" s="32" customFormat="1" ht="12.75" x14ac:dyDescent="0.2">
      <c r="DC933" s="439"/>
    </row>
    <row r="934" spans="107:107" s="32" customFormat="1" ht="12.75" x14ac:dyDescent="0.2">
      <c r="DC934" s="439"/>
    </row>
    <row r="935" spans="107:107" s="32" customFormat="1" ht="12.75" x14ac:dyDescent="0.2">
      <c r="DC935" s="439"/>
    </row>
    <row r="936" spans="107:107" s="32" customFormat="1" ht="12.75" x14ac:dyDescent="0.2">
      <c r="DC936" s="439"/>
    </row>
    <row r="937" spans="107:107" s="32" customFormat="1" ht="12.75" x14ac:dyDescent="0.2">
      <c r="DC937" s="439"/>
    </row>
    <row r="938" spans="107:107" s="32" customFormat="1" ht="12.75" x14ac:dyDescent="0.2">
      <c r="DC938" s="439"/>
    </row>
    <row r="939" spans="107:107" s="32" customFormat="1" ht="12.75" x14ac:dyDescent="0.2">
      <c r="DC939" s="439"/>
    </row>
    <row r="940" spans="107:107" s="32" customFormat="1" ht="12.75" x14ac:dyDescent="0.2">
      <c r="DC940" s="439"/>
    </row>
    <row r="941" spans="107:107" s="32" customFormat="1" ht="12.75" x14ac:dyDescent="0.2">
      <c r="DC941" s="439"/>
    </row>
    <row r="942" spans="107:107" s="32" customFormat="1" ht="12.75" x14ac:dyDescent="0.2">
      <c r="DC942" s="439"/>
    </row>
  </sheetData>
  <mergeCells count="15">
    <mergeCell ref="B5:C5"/>
    <mergeCell ref="B6:B20"/>
    <mergeCell ref="C6:C9"/>
    <mergeCell ref="C10:C11"/>
    <mergeCell ref="C38:C40"/>
    <mergeCell ref="C26:C27"/>
    <mergeCell ref="C13:C16"/>
    <mergeCell ref="C18:C20"/>
    <mergeCell ref="B21:B29"/>
    <mergeCell ref="C28:C29"/>
    <mergeCell ref="C41:C43"/>
    <mergeCell ref="B30:B43"/>
    <mergeCell ref="C30:C32"/>
    <mergeCell ref="C33:C35"/>
    <mergeCell ref="C36:C37"/>
  </mergeCells>
  <conditionalFormatting sqref="F6:F43 BE6:BE43">
    <cfRule type="expression" dxfId="49" priority="50">
      <formula>F6=O6</formula>
    </cfRule>
  </conditionalFormatting>
  <conditionalFormatting sqref="G6:G43 BF6:BF43">
    <cfRule type="expression" dxfId="48" priority="49">
      <formula>G6=O6</formula>
    </cfRule>
  </conditionalFormatting>
  <conditionalFormatting sqref="H6:H43 BG6:BG43">
    <cfRule type="expression" dxfId="47" priority="48">
      <formula>H6=O6</formula>
    </cfRule>
  </conditionalFormatting>
  <conditionalFormatting sqref="I6:I43 BH6:BH43">
    <cfRule type="expression" dxfId="46" priority="5">
      <formula>I6=O6</formula>
    </cfRule>
  </conditionalFormatting>
  <conditionalFormatting sqref="J6:J43 BI6:BI43">
    <cfRule type="expression" dxfId="45" priority="54">
      <formula>J6=O6</formula>
    </cfRule>
  </conditionalFormatting>
  <conditionalFormatting sqref="K6:K43 BJ6:BJ43">
    <cfRule type="expression" dxfId="44" priority="4">
      <formula>K6=O6</formula>
    </cfRule>
  </conditionalFormatting>
  <conditionalFormatting sqref="L6:L43 BK6:BK43">
    <cfRule type="expression" dxfId="43" priority="3">
      <formula>L6=O6</formula>
    </cfRule>
  </conditionalFormatting>
  <conditionalFormatting sqref="M6:M43 BL6:BL43">
    <cfRule type="expression" dxfId="42" priority="2">
      <formula>M6=O6</formula>
    </cfRule>
  </conditionalFormatting>
  <conditionalFormatting sqref="N6:N43 BM6:BM43">
    <cfRule type="expression" dxfId="41" priority="1">
      <formula>N6=O6</formula>
    </cfRule>
  </conditionalFormatting>
  <conditionalFormatting sqref="P6:P43 BO6:BO43">
    <cfRule type="expression" dxfId="40" priority="47">
      <formula>P6=Y6</formula>
    </cfRule>
  </conditionalFormatting>
  <conditionalFormatting sqref="Q6:Q43 BP6:BP43">
    <cfRule type="expression" dxfId="39" priority="46">
      <formula>Q6=Y6</formula>
    </cfRule>
  </conditionalFormatting>
  <conditionalFormatting sqref="R6:R43 BQ6:BQ43">
    <cfRule type="expression" dxfId="38" priority="45">
      <formula>R6=Y6</formula>
    </cfRule>
  </conditionalFormatting>
  <conditionalFormatting sqref="S6:S43 BR6:BR43">
    <cfRule type="expression" dxfId="37" priority="27">
      <formula>S6=Y6</formula>
    </cfRule>
  </conditionalFormatting>
  <conditionalFormatting sqref="T6:T43 BS6:BS43">
    <cfRule type="expression" dxfId="36" priority="51">
      <formula>T6=Y6</formula>
    </cfRule>
  </conditionalFormatting>
  <conditionalFormatting sqref="U6:U43 BT6:BT43">
    <cfRule type="expression" dxfId="35" priority="26">
      <formula>U6=Y6</formula>
    </cfRule>
  </conditionalFormatting>
  <conditionalFormatting sqref="V6:V43 BU6:BU43">
    <cfRule type="expression" dxfId="34" priority="25">
      <formula>V6=Y6</formula>
    </cfRule>
  </conditionalFormatting>
  <conditionalFormatting sqref="W6:W43 BV6:BV43">
    <cfRule type="expression" dxfId="33" priority="22">
      <formula>W6=Y6</formula>
    </cfRule>
  </conditionalFormatting>
  <conditionalFormatting sqref="X6:X43 BW6:BW43">
    <cfRule type="expression" dxfId="32" priority="23">
      <formula>X6=Y6</formula>
    </cfRule>
  </conditionalFormatting>
  <conditionalFormatting sqref="Y7">
    <cfRule type="expression" dxfId="31" priority="31">
      <formula>Y7=AD7</formula>
    </cfRule>
  </conditionalFormatting>
  <conditionalFormatting sqref="Z6:Z43 BY6:BY43">
    <cfRule type="expression" dxfId="30" priority="44">
      <formula>Z6=AI6</formula>
    </cfRule>
  </conditionalFormatting>
  <conditionalFormatting sqref="AA6:AA43 BZ6:BZ43">
    <cfRule type="expression" dxfId="29" priority="43">
      <formula>AA6=AI6</formula>
    </cfRule>
  </conditionalFormatting>
  <conditionalFormatting sqref="AB6:AB43 CA6:CA43">
    <cfRule type="expression" dxfId="28" priority="42">
      <formula>AB6=AI6</formula>
    </cfRule>
  </conditionalFormatting>
  <conditionalFormatting sqref="AC6:AC43 CB6:CB43">
    <cfRule type="expression" dxfId="27" priority="21">
      <formula>AC6=AI6</formula>
    </cfRule>
  </conditionalFormatting>
  <conditionalFormatting sqref="AD6:AD43 CC6:CC43">
    <cfRule type="expression" dxfId="26" priority="55">
      <formula>AD6=AI6</formula>
    </cfRule>
  </conditionalFormatting>
  <conditionalFormatting sqref="AE6:AE43 CD6:CD43">
    <cfRule type="expression" dxfId="25" priority="20">
      <formula>AE6=AI6</formula>
    </cfRule>
  </conditionalFormatting>
  <conditionalFormatting sqref="AF6:AF43 CE6:CE43">
    <cfRule type="expression" dxfId="24" priority="17">
      <formula>AF6=AI6</formula>
    </cfRule>
  </conditionalFormatting>
  <conditionalFormatting sqref="AG6:AG43 CF6:CF43">
    <cfRule type="expression" dxfId="23" priority="18">
      <formula>AG6=AI6</formula>
    </cfRule>
  </conditionalFormatting>
  <conditionalFormatting sqref="AH6:AH43 CG6:CG43">
    <cfRule type="expression" dxfId="22" priority="19">
      <formula>AH6=AI6</formula>
    </cfRule>
  </conditionalFormatting>
  <conditionalFormatting sqref="AJ6:AJ43 CI6:CI43">
    <cfRule type="expression" dxfId="21" priority="38">
      <formula>AJ6=AS6</formula>
    </cfRule>
  </conditionalFormatting>
  <conditionalFormatting sqref="AK6:AK43 CJ6:CJ43">
    <cfRule type="expression" dxfId="20" priority="37">
      <formula>AK6=AS6</formula>
    </cfRule>
  </conditionalFormatting>
  <conditionalFormatting sqref="AL6:AL43 CK6:CK43">
    <cfRule type="expression" dxfId="19" priority="36">
      <formula>AL6=AS6</formula>
    </cfRule>
  </conditionalFormatting>
  <conditionalFormatting sqref="AM6:AM43 CL6:CL43">
    <cfRule type="expression" dxfId="18" priority="16">
      <formula>AM6=AS6</formula>
    </cfRule>
  </conditionalFormatting>
  <conditionalFormatting sqref="AN6:AN43 CM6:CM43">
    <cfRule type="expression" dxfId="17" priority="53">
      <formula>AN6=AS6</formula>
    </cfRule>
  </conditionalFormatting>
  <conditionalFormatting sqref="AO6:AO43 CN6:CN43">
    <cfRule type="expression" dxfId="16" priority="12">
      <formula>AO6=AS6</formula>
    </cfRule>
  </conditionalFormatting>
  <conditionalFormatting sqref="AP6:AP43 CO6:CO43">
    <cfRule type="expression" dxfId="15" priority="13">
      <formula>AP6=AS6</formula>
    </cfRule>
  </conditionalFormatting>
  <conditionalFormatting sqref="AQ6:AQ43 CP6:CP43">
    <cfRule type="expression" dxfId="14" priority="14">
      <formula>AQ6=AS6</formula>
    </cfRule>
  </conditionalFormatting>
  <conditionalFormatting sqref="AR6:AR43 CQ6:CQ43">
    <cfRule type="expression" dxfId="13" priority="15">
      <formula>AR6=AS6</formula>
    </cfRule>
  </conditionalFormatting>
  <conditionalFormatting sqref="AT6:AT43 CS6:CS43">
    <cfRule type="expression" dxfId="12" priority="35">
      <formula>AT6=BC6</formula>
    </cfRule>
  </conditionalFormatting>
  <conditionalFormatting sqref="AU6:AU43 CT6:CT43">
    <cfRule type="expression" dxfId="11" priority="34">
      <formula>AU6=BC6</formula>
    </cfRule>
  </conditionalFormatting>
  <conditionalFormatting sqref="AV6:AV43 CU6:CU43">
    <cfRule type="expression" dxfId="10" priority="33">
      <formula>AV6=BC6</formula>
    </cfRule>
  </conditionalFormatting>
  <conditionalFormatting sqref="AW6:AW43 CV6:CV43">
    <cfRule type="expression" dxfId="9" priority="11">
      <formula>AW6=BC6</formula>
    </cfRule>
  </conditionalFormatting>
  <conditionalFormatting sqref="AX6:AX43 CW6:CW43">
    <cfRule type="expression" dxfId="8" priority="52">
      <formula>AX6=BC6</formula>
    </cfRule>
  </conditionalFormatting>
  <conditionalFormatting sqref="AY6:AY43 CX6:CX43">
    <cfRule type="expression" dxfId="7" priority="6">
      <formula>AY6=BC6</formula>
    </cfRule>
  </conditionalFormatting>
  <conditionalFormatting sqref="AZ6:AZ43 CY6:CY43">
    <cfRule type="expression" dxfId="6" priority="7">
      <formula>AZ6=BC6</formula>
    </cfRule>
  </conditionalFormatting>
  <conditionalFormatting sqref="BA6:BA43 CZ6:CZ43">
    <cfRule type="expression" dxfId="5" priority="8">
      <formula>BA6=BC6</formula>
    </cfRule>
  </conditionalFormatting>
  <conditionalFormatting sqref="BB6:BB43 DA6:DA43">
    <cfRule type="expression" dxfId="4" priority="9">
      <formula>BB6=BC6</formula>
    </cfRule>
  </conditionalFormatting>
  <conditionalFormatting sqref="BG10">
    <cfRule type="expression" dxfId="3" priority="32">
      <formula>BG10=BO10</formula>
    </cfRule>
  </conditionalFormatting>
  <conditionalFormatting sqref="BO9">
    <cfRule type="expression" dxfId="2" priority="30">
      <formula>BO9=BT9</formula>
    </cfRule>
  </conditionalFormatting>
  <conditionalFormatting sqref="BP13:BQ13">
    <cfRule type="expression" dxfId="1" priority="28">
      <formula>BP13=BY13</formula>
    </cfRule>
  </conditionalFormatting>
  <pageMargins left="0.31496062992125984" right="0.11811023622047245" top="0.39370078740157483" bottom="0.19685039370078741" header="0.19685039370078741" footer="0.11811023622047245"/>
  <pageSetup paperSize="9" scale="32" fitToHeight="0" orientation="portrait" r:id="rId1"/>
  <headerFooter>
    <oddHeader>&amp;L&amp;F&amp;R&amp;D</oddHeader>
    <oddFooter>&amp;C&amp;K02-008ScorecardVersion 2019&amp;R&amp;K01+045&amp;P                &amp;K00+000.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11">
    <tabColor theme="7" tint="-0.499984740745262"/>
    <pageSetUpPr fitToPage="1"/>
  </sheetPr>
  <dimension ref="A1:AZ42"/>
  <sheetViews>
    <sheetView topLeftCell="Z1" zoomScaleNormal="100" workbookViewId="0">
      <selection activeCell="AQ17" sqref="AQ17"/>
    </sheetView>
  </sheetViews>
  <sheetFormatPr defaultColWidth="10.7109375" defaultRowHeight="18.75" x14ac:dyDescent="0.3"/>
  <cols>
    <col min="1" max="1" width="11.7109375" style="10" customWidth="1"/>
    <col min="2" max="2" width="33.42578125" customWidth="1"/>
    <col min="3" max="3" width="8.140625" customWidth="1"/>
    <col min="5" max="5" width="36.7109375" customWidth="1"/>
    <col min="6" max="6" width="11.140625" style="14" bestFit="1" customWidth="1"/>
    <col min="7" max="7" width="10.7109375" style="14"/>
    <col min="8" max="8" width="15.42578125" style="11" customWidth="1"/>
    <col min="9" max="9" width="12.42578125" customWidth="1"/>
    <col min="10" max="10" width="12.140625" style="11" customWidth="1"/>
    <col min="11" max="13" width="12" style="11" customWidth="1"/>
    <col min="14" max="14" width="20.42578125" customWidth="1"/>
    <col min="15" max="15" width="10.42578125" style="16" customWidth="1"/>
    <col min="16" max="16" width="15.140625" customWidth="1"/>
    <col min="17" max="17" width="15.140625" style="16" customWidth="1"/>
    <col min="18" max="19" width="25.42578125" customWidth="1"/>
    <col min="20" max="20" width="20.140625" customWidth="1"/>
    <col min="21" max="22" width="12.7109375" customWidth="1"/>
    <col min="23" max="23" width="21.42578125" style="29" customWidth="1"/>
    <col min="24" max="24" width="18.42578125" customWidth="1"/>
    <col min="25" max="25" width="11.42578125" customWidth="1"/>
    <col min="26" max="26" width="15.42578125" customWidth="1"/>
    <col min="27" max="27" width="18.28515625" customWidth="1"/>
    <col min="28" max="29" width="13.42578125" customWidth="1"/>
    <col min="30" max="30" width="4.7109375" customWidth="1"/>
    <col min="31" max="31" width="7.42578125" customWidth="1"/>
    <col min="32" max="32" width="5.28515625" customWidth="1"/>
    <col min="33" max="33" width="16.42578125" customWidth="1"/>
    <col min="34" max="34" width="12.7109375" customWidth="1"/>
    <col min="37" max="37" width="3.42578125" customWidth="1"/>
    <col min="38" max="38" width="24.7109375" customWidth="1"/>
    <col min="40" max="40" width="2.7109375" customWidth="1"/>
    <col min="41" max="41" width="13.7109375" customWidth="1"/>
    <col min="42" max="42" width="22.140625" customWidth="1"/>
    <col min="43" max="43" width="10.7109375" customWidth="1"/>
    <col min="44" max="44" width="3.140625" customWidth="1"/>
    <col min="45" max="45" width="24" customWidth="1"/>
    <col min="46" max="46" width="3.7109375" customWidth="1"/>
    <col min="48" max="48" width="19" customWidth="1"/>
    <col min="49" max="49" width="2.7109375" customWidth="1"/>
    <col min="50" max="50" width="24.42578125" customWidth="1"/>
    <col min="52" max="52" width="21.85546875" customWidth="1"/>
  </cols>
  <sheetData>
    <row r="1" spans="1:52" ht="40.5" customHeight="1" thickBot="1" x14ac:dyDescent="0.3">
      <c r="A1" s="216" t="e">
        <f>IF('EAMD Scorecard'!#REF!="","",'EAMD Scorecard'!#REF!)</f>
        <v>#REF!</v>
      </c>
      <c r="B1" s="653" t="s">
        <v>106</v>
      </c>
      <c r="C1" s="685" t="s">
        <v>109</v>
      </c>
      <c r="D1" s="686"/>
      <c r="E1" s="653" t="s">
        <v>107</v>
      </c>
      <c r="F1" s="654" t="s">
        <v>601</v>
      </c>
      <c r="G1" s="22" t="s">
        <v>602</v>
      </c>
      <c r="H1" s="654" t="s">
        <v>603</v>
      </c>
      <c r="I1" s="654" t="s">
        <v>604</v>
      </c>
      <c r="J1" s="22" t="s">
        <v>605</v>
      </c>
      <c r="K1" s="22" t="s">
        <v>606</v>
      </c>
      <c r="L1" s="657" t="s">
        <v>607</v>
      </c>
      <c r="M1" s="657" t="s">
        <v>608</v>
      </c>
      <c r="N1" s="656" t="s">
        <v>768</v>
      </c>
      <c r="O1" s="656"/>
      <c r="P1" s="655" t="s">
        <v>773</v>
      </c>
      <c r="Q1" s="655"/>
      <c r="R1" s="20" t="s">
        <v>609</v>
      </c>
      <c r="S1" s="124" t="s">
        <v>610</v>
      </c>
      <c r="T1" s="654" t="s">
        <v>199</v>
      </c>
      <c r="U1" s="654" t="s">
        <v>611</v>
      </c>
      <c r="V1" s="657" t="s">
        <v>203</v>
      </c>
      <c r="W1" s="677" t="s">
        <v>261</v>
      </c>
      <c r="X1" s="678"/>
      <c r="Y1" s="679"/>
      <c r="Z1" s="662" t="s">
        <v>612</v>
      </c>
      <c r="AA1" s="663"/>
      <c r="AB1" s="663"/>
      <c r="AC1" s="664"/>
      <c r="AD1" s="74"/>
      <c r="AG1" s="665" t="s">
        <v>613</v>
      </c>
      <c r="AH1" s="665"/>
      <c r="AI1" s="665"/>
      <c r="AJ1" s="665"/>
      <c r="AK1" s="665"/>
      <c r="AL1" s="665"/>
      <c r="AM1" s="665"/>
      <c r="AN1" s="665"/>
      <c r="AO1" s="665"/>
      <c r="AP1" s="665"/>
      <c r="AQ1" s="665"/>
      <c r="AR1" s="665"/>
      <c r="AS1" s="665"/>
      <c r="AT1" s="665"/>
      <c r="AU1" s="665"/>
      <c r="AV1" s="665"/>
      <c r="AW1" s="665"/>
      <c r="AX1" s="665"/>
    </row>
    <row r="2" spans="1:52" ht="40.5" customHeight="1" thickBot="1" x14ac:dyDescent="0.3">
      <c r="B2" s="653"/>
      <c r="C2" s="116" t="s">
        <v>614</v>
      </c>
      <c r="D2" s="54" t="s">
        <v>615</v>
      </c>
      <c r="E2" s="653"/>
      <c r="F2" s="654"/>
      <c r="G2" s="22"/>
      <c r="H2" s="654"/>
      <c r="I2" s="654"/>
      <c r="J2" s="22" t="s">
        <v>616</v>
      </c>
      <c r="K2" s="22" t="s">
        <v>616</v>
      </c>
      <c r="L2" s="658"/>
      <c r="M2" s="658"/>
      <c r="N2" s="18">
        <f>COUNTIF($F$3:$F$40,"&lt;2,01")</f>
        <v>0</v>
      </c>
      <c r="O2" s="18">
        <f>N2</f>
        <v>0</v>
      </c>
      <c r="P2" s="19" cm="1">
        <f t="array" ref="P2">SUM(COUNTIFS($F$3:$F$40,"&gt;2",$I$3:$I$40,{"STA";"SNT";"NEG";"CON";"UNC"}))</f>
        <v>0</v>
      </c>
      <c r="Q2" s="19">
        <f>P2</f>
        <v>0</v>
      </c>
      <c r="R2" s="21">
        <f>COUNTIF($F$3:$F$40,".d")+COUNTIF($I$3:$I$40,"NME")</f>
        <v>0</v>
      </c>
      <c r="S2" s="21">
        <f>COUNTIF($F$3:$F$40,".d")+COUNTIF($I$3:$I$40,"DSN")</f>
        <v>37</v>
      </c>
      <c r="T2" s="654"/>
      <c r="U2" s="654"/>
      <c r="V2" s="658"/>
      <c r="W2" s="69" t="s">
        <v>617</v>
      </c>
      <c r="X2" s="675" t="s">
        <v>618</v>
      </c>
      <c r="Y2" s="676"/>
      <c r="Z2" s="78" t="s">
        <v>619</v>
      </c>
      <c r="AA2" s="79" t="s">
        <v>620</v>
      </c>
      <c r="AB2" s="79" t="s">
        <v>621</v>
      </c>
      <c r="AC2" s="80" t="s">
        <v>622</v>
      </c>
      <c r="AD2" s="75"/>
      <c r="AG2" s="661" t="s">
        <v>623</v>
      </c>
      <c r="AH2" s="661"/>
      <c r="AI2" s="661"/>
      <c r="AJ2" s="24" t="s">
        <v>624</v>
      </c>
      <c r="AL2" s="659" t="s">
        <v>625</v>
      </c>
      <c r="AM2" s="660"/>
      <c r="AO2" s="384"/>
      <c r="AP2" t="s">
        <v>432</v>
      </c>
      <c r="AQ2" t="s">
        <v>626</v>
      </c>
      <c r="AS2" s="125" t="s">
        <v>627</v>
      </c>
      <c r="AU2" s="652" t="s">
        <v>628</v>
      </c>
      <c r="AV2" s="652"/>
      <c r="AW2" s="32"/>
      <c r="AX2" s="133" t="s">
        <v>629</v>
      </c>
      <c r="AZ2" s="674">
        <f>Year</f>
        <v>2024</v>
      </c>
    </row>
    <row r="3" spans="1:52" ht="37.5" customHeight="1" thickTop="1" thickBot="1" x14ac:dyDescent="0.35">
      <c r="A3" s="680" t="s">
        <v>120</v>
      </c>
      <c r="B3" s="670" t="str">
        <f>'EAMD Scorecard'!C8</f>
        <v>S1
Suppliers</v>
      </c>
      <c r="C3" s="117" t="s">
        <v>630</v>
      </c>
      <c r="D3" s="17" t="str">
        <f>Dashboard!E29</f>
        <v>S1V1</v>
      </c>
      <c r="E3" s="17" t="str">
        <f>_xlfn.CONCAT(C3," ",'EAMD Scorecard'!D8)</f>
        <v>S1 Businesses</v>
      </c>
      <c r="F3" s="30" t="str">
        <f>IF(AND('EAMD Scorecard'!E8&gt;0,'EAMD Scorecard'!E8&lt;&gt;AG$11),VLOOKUP('EAMD Scorecard'!E8,Calculation!AL$2:AM$11,2,FALSE),"")</f>
        <v/>
      </c>
      <c r="G3" s="30" t="e">
        <f>AVERAGE(F3:F6)</f>
        <v>#DIV/0!</v>
      </c>
      <c r="H3" s="15" t="str">
        <f t="shared" ref="H3:H40" si="0">_xlfn.IFNA(VLOOKUP(I3,$AH$3:$AI$9,2,FALSE),"")</f>
        <v/>
      </c>
      <c r="I3" s="12" t="str">
        <f>IF(ISTEXT('EAMD Scorecard'!F8),VLOOKUP('EAMD Scorecard'!F8,AG$3:AJ$13,2,FALSE),AH$11)</f>
        <v>DSN</v>
      </c>
      <c r="J3" t="b">
        <f>AND(F3=3,OR(I3="STA",I3="SNT",I3="NEG",I3="CON",I3="UNC"))</f>
        <v>0</v>
      </c>
      <c r="K3" t="b">
        <f>AND(F3=4,OR(I3="STA",I3="SNT",I3="NEG",I3="CON",I3="UNC"))</f>
        <v>0</v>
      </c>
      <c r="L3" t="b">
        <f>IF(OR(F3=".d",I3="NME"),TRUE)</f>
        <v>0</v>
      </c>
      <c r="M3" t="b">
        <f>IF(OR(F3=".d",I3="DSN"),TRUE)</f>
        <v>1</v>
      </c>
      <c r="N3" t="str" cm="1">
        <f t="array" ref="N3">IF(N2&gt;0,_xlfn._xlws.FILTER(Calculation!E3:E40,Calculation!F3:F40&lt;2.1),"")</f>
        <v/>
      </c>
      <c r="O3" s="15"/>
      <c r="P3" t="str" cm="1">
        <f t="array" ref="P3">IF(P2&gt;0,_xlfn._xlws.FILTER(Calculation!E3:E40,(Calculation!F3:F40&gt;2)*((I3:I40="SNT")+(I3:I40="STA")+(I3:I40="NEG")+(I3:I40="CON")+(I3:I40="UNC"))),"")</f>
        <v/>
      </c>
      <c r="Q3" s="15"/>
      <c r="R3" t="str" cm="1">
        <f t="array" ref="R3">IF(R2&gt;0,_xlfn._xlws.FILTER(Calculation!E3:E40,I3:I40="NME"),"")</f>
        <v/>
      </c>
      <c r="S3" t="e" cm="1">
        <f t="array" ref="S3">IF(S2&gt;0,_xlfn._xlws.FILTER(Calculation!E3:E40,I3:I40="DSN"),"")</f>
        <v>#N/A</v>
      </c>
      <c r="T3" s="16" t="str">
        <f>IF('EAMD Scorecard'!E4="","",'EAMD Scorecard'!E4)</f>
        <v>Other</v>
      </c>
      <c r="U3" s="16">
        <f>IF('EAMD Scorecard'!B4="","",'EAMD Scorecard'!B4)</f>
        <v>0</v>
      </c>
      <c r="V3" s="16" t="e">
        <f>IF('EAMD Scorecard'!#REF!="","",'EAMD Scorecard'!#REF!)</f>
        <v>#REF!</v>
      </c>
      <c r="W3" s="29">
        <f>'EAMD Scorecard'!H8</f>
        <v>0</v>
      </c>
      <c r="X3" s="31" t="s">
        <v>13</v>
      </c>
      <c r="Y3" s="86">
        <f>COUNTIF(W3:W40,$AX$3)/COUNTA(W3:W40)</f>
        <v>0</v>
      </c>
      <c r="Z3" s="81">
        <f>38-AA3-AB3</f>
        <v>1</v>
      </c>
      <c r="AA3" s="82">
        <f>COUNTIF(I3:I40,AH10)</f>
        <v>0</v>
      </c>
      <c r="AB3" s="82">
        <f>COUNTIF(I3:I40,AH11)</f>
        <v>37</v>
      </c>
      <c r="AC3" s="83">
        <f>Z3+AA3+AB3</f>
        <v>38</v>
      </c>
      <c r="AD3" s="63"/>
      <c r="AG3" s="44" t="s">
        <v>28</v>
      </c>
      <c r="AH3" s="2" t="s">
        <v>631</v>
      </c>
      <c r="AI3" s="46" t="s">
        <v>632</v>
      </c>
      <c r="AJ3" s="25" t="s">
        <v>632</v>
      </c>
      <c r="AL3" s="3" t="s">
        <v>7</v>
      </c>
      <c r="AM3" s="3">
        <v>1</v>
      </c>
      <c r="AO3" s="384"/>
      <c r="AP3" t="s">
        <v>433</v>
      </c>
      <c r="AQ3" t="s">
        <v>633</v>
      </c>
      <c r="AS3" s="2" t="s">
        <v>270</v>
      </c>
      <c r="AU3" s="45" t="s">
        <v>626</v>
      </c>
      <c r="AV3" s="45" t="s">
        <v>432</v>
      </c>
      <c r="AW3" s="32">
        <v>1</v>
      </c>
      <c r="AX3" s="126" t="s">
        <v>13</v>
      </c>
      <c r="AZ3" s="674"/>
    </row>
    <row r="4" spans="1:52" ht="37.5" customHeight="1" thickTop="1" thickBot="1" x14ac:dyDescent="0.35">
      <c r="A4" s="681"/>
      <c r="B4" s="666"/>
      <c r="C4" s="117" t="s">
        <v>630</v>
      </c>
      <c r="D4" s="17" t="str">
        <f>Dashboard!E30</f>
        <v>S1V2</v>
      </c>
      <c r="E4" s="17" t="str">
        <f>_xlfn.CONCAT(C4," ",'EAMD Scorecard'!D9)</f>
        <v>S1 Business modalities</v>
      </c>
      <c r="F4" s="30" t="str">
        <f>IF(AND('EAMD Scorecard'!E9&gt;0,'EAMD Scorecard'!E9&lt;&gt;AG$11),VLOOKUP('EAMD Scorecard'!E9,Calculation!AL$2:AM$11,2,FALSE),"")</f>
        <v/>
      </c>
      <c r="G4" s="30"/>
      <c r="H4" s="15" t="str">
        <f t="shared" si="0"/>
        <v/>
      </c>
      <c r="I4" s="12" t="str">
        <f>IF(ISTEXT('EAMD Scorecard'!F9),VLOOKUP('EAMD Scorecard'!F9,AG$3:AJ$13,2,FALSE),AH$11)</f>
        <v>DSN</v>
      </c>
      <c r="J4" t="b">
        <f>AND(F4=3,OR(I4="STA",I4="SNT",I4="NEG",I4="CON",I4="UNC"))</f>
        <v>0</v>
      </c>
      <c r="K4" t="b">
        <f>AND(F4=4,OR(I4="STA",I4="SNT",I4="NEG",I4="CON",I4="UNC"))</f>
        <v>0</v>
      </c>
      <c r="L4" t="b">
        <f>IF(OR(F4=".d",I4="NME"),TRUE)</f>
        <v>0</v>
      </c>
      <c r="M4" t="b">
        <f>IF(OR(F4=".d",I4="DSN"),TRUE)</f>
        <v>1</v>
      </c>
      <c r="O4" s="15"/>
      <c r="Q4" s="15"/>
      <c r="T4" s="16"/>
      <c r="U4" s="16"/>
      <c r="V4" s="16"/>
      <c r="W4" s="29">
        <f>'EAMD Scorecard'!H9</f>
        <v>0</v>
      </c>
      <c r="X4" s="31" t="s">
        <v>23</v>
      </c>
      <c r="Y4" s="86">
        <f>COUNTIF(W3:W40,$AX$4)/COUNTA(W3:W40)</f>
        <v>0</v>
      </c>
      <c r="Z4" s="84">
        <f>Z3/$AC$3</f>
        <v>2.6315789473684209E-2</v>
      </c>
      <c r="AA4" s="85">
        <f>AA3/$AC$3</f>
        <v>0</v>
      </c>
      <c r="AB4" s="85">
        <f>AB3/$AC$3</f>
        <v>0.97368421052631582</v>
      </c>
      <c r="AC4" s="87">
        <f>Z4+AA4+AB4</f>
        <v>1</v>
      </c>
      <c r="AD4" s="63"/>
      <c r="AG4" s="47" t="s">
        <v>12</v>
      </c>
      <c r="AH4" s="2" t="s">
        <v>634</v>
      </c>
      <c r="AI4" s="46" t="s">
        <v>635</v>
      </c>
      <c r="AJ4" s="25" t="s">
        <v>635</v>
      </c>
      <c r="AL4" s="341" t="s">
        <v>636</v>
      </c>
      <c r="AM4" s="341">
        <v>1.5</v>
      </c>
      <c r="AO4" s="384"/>
      <c r="AP4" t="s">
        <v>434</v>
      </c>
      <c r="AQ4" t="s">
        <v>637</v>
      </c>
      <c r="AS4" s="2" t="s">
        <v>154</v>
      </c>
      <c r="AU4" s="45" t="s">
        <v>638</v>
      </c>
      <c r="AV4" s="45" t="s">
        <v>433</v>
      </c>
      <c r="AW4" s="32">
        <v>2</v>
      </c>
      <c r="AX4" s="126" t="s">
        <v>23</v>
      </c>
    </row>
    <row r="5" spans="1:52" ht="37.5" customHeight="1" thickTop="1" thickBot="1" x14ac:dyDescent="0.35">
      <c r="A5" s="681"/>
      <c r="B5" s="666"/>
      <c r="C5" s="117" t="s">
        <v>630</v>
      </c>
      <c r="D5" s="17" t="str">
        <f>Dashboard!E31</f>
        <v>S1V3</v>
      </c>
      <c r="E5" s="17" t="str">
        <f>_xlfn.CONCAT(C5," ",'EAMD Scorecard'!D10)</f>
        <v>S1 Formality</v>
      </c>
      <c r="F5" s="30" t="str">
        <f>IF(AND('EAMD Scorecard'!E10&gt;0,'EAMD Scorecard'!E10&lt;&gt;AG$11),VLOOKUP('EAMD Scorecard'!E10,Calculation!AL$2:AM$11,2,FALSE),"")</f>
        <v/>
      </c>
      <c r="G5" s="30"/>
      <c r="H5" s="15" t="str">
        <f t="shared" si="0"/>
        <v/>
      </c>
      <c r="I5" s="12" t="str">
        <f>IF(ISTEXT('EAMD Scorecard'!F10),VLOOKUP('EAMD Scorecard'!F10,AG$3:AJ$13,2,FALSE),AH$11)</f>
        <v>DSN</v>
      </c>
      <c r="J5" t="b">
        <f>AND(F5=3,OR(I5="STA",I5="SNT",I5="NEG",I5="CON",I5="UNC"))</f>
        <v>0</v>
      </c>
      <c r="K5" t="b">
        <f>AND(F5=4,OR(I5="STA",I5="SNT",I5="NEG",I5="CON",I5="UNC"))</f>
        <v>0</v>
      </c>
      <c r="L5" t="b">
        <f>IF(OR(F5=".d",I5="NME"),TRUE)</f>
        <v>0</v>
      </c>
      <c r="M5" t="b">
        <f>IF(OR(F5=".d",I5="DSN"),TRUE)</f>
        <v>1</v>
      </c>
      <c r="O5" s="15"/>
      <c r="Q5" s="15"/>
      <c r="W5" s="29">
        <f>'EAMD Scorecard'!H10</f>
        <v>0</v>
      </c>
      <c r="X5" s="31" t="s">
        <v>34</v>
      </c>
      <c r="Y5" s="86">
        <f>COUNTIF(W3:W40,$AX$5)/COUNTA(W3:W40)</f>
        <v>0</v>
      </c>
      <c r="Z5" s="64"/>
      <c r="AA5" s="64"/>
      <c r="AB5" s="64"/>
      <c r="AC5" s="64"/>
      <c r="AD5" s="64"/>
      <c r="AG5" s="47" t="s">
        <v>25</v>
      </c>
      <c r="AH5" s="2" t="s">
        <v>639</v>
      </c>
      <c r="AI5" s="46" t="s">
        <v>640</v>
      </c>
      <c r="AJ5" s="25" t="s">
        <v>640</v>
      </c>
      <c r="AL5" s="4" t="s">
        <v>8</v>
      </c>
      <c r="AM5" s="4">
        <v>2</v>
      </c>
      <c r="AO5" s="384"/>
      <c r="AP5" t="s">
        <v>435</v>
      </c>
      <c r="AQ5" t="s">
        <v>641</v>
      </c>
      <c r="AS5" s="2" t="s">
        <v>170</v>
      </c>
      <c r="AU5" s="126" t="s">
        <v>637</v>
      </c>
      <c r="AV5" s="45" t="s">
        <v>434</v>
      </c>
      <c r="AW5" s="32">
        <v>3</v>
      </c>
      <c r="AX5" s="45" t="s">
        <v>34</v>
      </c>
    </row>
    <row r="6" spans="1:52" ht="37.5" customHeight="1" thickTop="1" thickBot="1" x14ac:dyDescent="0.35">
      <c r="A6" s="681"/>
      <c r="B6" s="666"/>
      <c r="C6" s="117" t="s">
        <v>630</v>
      </c>
      <c r="D6" s="17" t="str">
        <f>Dashboard!E32</f>
        <v>S1V4</v>
      </c>
      <c r="E6" s="17" t="str">
        <f>_xlfn.CONCAT(C6," ",'EAMD Scorecard'!D11)</f>
        <v>S1 Jobs created</v>
      </c>
      <c r="F6" s="30" t="str">
        <f>IF(AND('EAMD Scorecard'!E11&gt;0,'EAMD Scorecard'!E11&lt;&gt;AG$11),VLOOKUP('EAMD Scorecard'!E11,Calculation!AL$2:AM$11,2,FALSE),"")</f>
        <v/>
      </c>
      <c r="G6" s="30"/>
      <c r="H6" s="15" t="str">
        <f t="shared" si="0"/>
        <v/>
      </c>
      <c r="I6" s="12" t="str">
        <f>IF(ISTEXT('EAMD Scorecard'!F11),VLOOKUP('EAMD Scorecard'!F11,AG$3:AJ$13,2,FALSE),AH$11)</f>
        <v>DSN</v>
      </c>
      <c r="J6" t="b">
        <f t="shared" ref="J6:J17" si="1">AND(F6=3,OR(I6="STA",I6="SNT",I6="NEG",I6="CON",I6="UNC"))</f>
        <v>0</v>
      </c>
      <c r="K6" t="b">
        <f t="shared" ref="K6:K17" si="2">AND(F6=4,OR(I6="STA",I6="SNT",I6="NEG",I6="CON",I6="UNC"))</f>
        <v>0</v>
      </c>
      <c r="L6" t="b">
        <f t="shared" ref="L6:L17" si="3">IF(OR(F6=".d",I6="NME"),TRUE)</f>
        <v>0</v>
      </c>
      <c r="M6" t="b">
        <f t="shared" ref="M6:M40" si="4">IF(OR(F6=".d",I6="DSN"),TRUE)</f>
        <v>1</v>
      </c>
      <c r="O6" s="15"/>
      <c r="Q6" s="15"/>
      <c r="W6" s="29">
        <f>'EAMD Scorecard'!H11</f>
        <v>0</v>
      </c>
      <c r="X6" s="76" t="s">
        <v>622</v>
      </c>
      <c r="Y6" s="77">
        <f>SUM(Y3:Y5)</f>
        <v>0</v>
      </c>
      <c r="AG6" s="47" t="s">
        <v>30</v>
      </c>
      <c r="AH6" s="2" t="s">
        <v>642</v>
      </c>
      <c r="AI6" s="46" t="s">
        <v>643</v>
      </c>
      <c r="AJ6" s="25" t="s">
        <v>643</v>
      </c>
      <c r="AL6" s="331" t="s">
        <v>45</v>
      </c>
      <c r="AM6" s="331">
        <v>2.5</v>
      </c>
      <c r="AO6" s="384"/>
      <c r="AP6" t="s">
        <v>4</v>
      </c>
      <c r="AQ6" t="s">
        <v>644</v>
      </c>
      <c r="AU6" s="126" t="s">
        <v>641</v>
      </c>
      <c r="AV6" s="45" t="s">
        <v>435</v>
      </c>
      <c r="AW6" s="32">
        <v>4</v>
      </c>
      <c r="AX6" s="45" t="s">
        <v>645</v>
      </c>
    </row>
    <row r="7" spans="1:52" ht="37.5" customHeight="1" thickTop="1" thickBot="1" x14ac:dyDescent="0.35">
      <c r="A7" s="681"/>
      <c r="B7" s="666" t="str">
        <f>'EAMD Scorecard'!C12</f>
        <v>S2
Sales Volume</v>
      </c>
      <c r="C7" s="117" t="s">
        <v>68</v>
      </c>
      <c r="D7" s="17" t="str">
        <f>Dashboard!E33</f>
        <v>S2V1</v>
      </c>
      <c r="E7" s="17" t="str">
        <f>_xlfn.CONCAT(C7," ",'EAMD Scorecard'!D12)</f>
        <v>S2 Products / services sold</v>
      </c>
      <c r="F7" s="30" t="str">
        <f>IF(AND('EAMD Scorecard'!E12&gt;0,'EAMD Scorecard'!E12&lt;&gt;AG$11),VLOOKUP('EAMD Scorecard'!E12,Calculation!AL$2:AM$11,2,FALSE),"")</f>
        <v/>
      </c>
      <c r="G7" s="30" t="e">
        <f>AVERAGE(F7:F8)</f>
        <v>#DIV/0!</v>
      </c>
      <c r="H7" s="15" t="str">
        <f t="shared" si="0"/>
        <v/>
      </c>
      <c r="I7" s="12" t="str">
        <f>IF(ISTEXT('EAMD Scorecard'!F12),VLOOKUP('EAMD Scorecard'!F12,AG$3:AJ$13,2,FALSE),AH$11)</f>
        <v>DSN</v>
      </c>
      <c r="J7" t="b">
        <f t="shared" si="1"/>
        <v>0</v>
      </c>
      <c r="K7" t="b">
        <f t="shared" si="2"/>
        <v>0</v>
      </c>
      <c r="L7" t="b">
        <f t="shared" si="3"/>
        <v>0</v>
      </c>
      <c r="M7" t="b">
        <f t="shared" si="4"/>
        <v>1</v>
      </c>
      <c r="O7" s="15"/>
      <c r="Q7" s="15"/>
      <c r="W7" s="29">
        <f>'EAMD Scorecard'!H12</f>
        <v>0</v>
      </c>
      <c r="AG7" s="44" t="s">
        <v>131</v>
      </c>
      <c r="AH7" s="2" t="s">
        <v>646</v>
      </c>
      <c r="AI7" s="46" t="s">
        <v>647</v>
      </c>
      <c r="AJ7" s="25" t="s">
        <v>647</v>
      </c>
      <c r="AL7" s="5" t="s">
        <v>9</v>
      </c>
      <c r="AM7" s="5">
        <v>3</v>
      </c>
      <c r="AO7" s="384"/>
      <c r="AP7" t="s">
        <v>436</v>
      </c>
      <c r="AQ7" t="s">
        <v>436</v>
      </c>
      <c r="AU7" s="126" t="s">
        <v>644</v>
      </c>
      <c r="AV7" s="45" t="s">
        <v>4</v>
      </c>
      <c r="AW7" s="32">
        <v>5</v>
      </c>
    </row>
    <row r="8" spans="1:52" ht="37.5" customHeight="1" thickTop="1" thickBot="1" x14ac:dyDescent="0.35">
      <c r="A8" s="681"/>
      <c r="B8" s="666"/>
      <c r="C8" s="117" t="s">
        <v>68</v>
      </c>
      <c r="D8" s="17" t="str">
        <f>Dashboard!E34</f>
        <v>S2V2</v>
      </c>
      <c r="E8" s="17" t="str">
        <f>_xlfn.CONCAT(C8," ",'EAMD Scorecard'!D13)</f>
        <v>S2 Inventory turnover</v>
      </c>
      <c r="F8" s="30" t="str">
        <f>IF(AND('EAMD Scorecard'!E13&gt;0,'EAMD Scorecard'!E13&lt;&gt;AG$11),VLOOKUP('EAMD Scorecard'!E13,Calculation!AL$2:AM$11,2,FALSE),"")</f>
        <v/>
      </c>
      <c r="G8" s="30"/>
      <c r="H8" s="15" t="str">
        <f t="shared" si="0"/>
        <v/>
      </c>
      <c r="I8" s="12" t="str">
        <f>IF(ISTEXT('EAMD Scorecard'!F13),VLOOKUP('EAMD Scorecard'!F13,AG$3:AJ$13,2,FALSE),AH$11)</f>
        <v>DSN</v>
      </c>
      <c r="J8" t="b">
        <f t="shared" si="1"/>
        <v>0</v>
      </c>
      <c r="K8" t="b">
        <f t="shared" si="2"/>
        <v>0</v>
      </c>
      <c r="L8" t="b">
        <f t="shared" si="3"/>
        <v>0</v>
      </c>
      <c r="M8" t="b">
        <f t="shared" si="4"/>
        <v>1</v>
      </c>
      <c r="O8" s="15"/>
      <c r="Q8" s="15"/>
      <c r="W8" s="29">
        <f>'EAMD Scorecard'!H13</f>
        <v>0</v>
      </c>
      <c r="AG8" s="47" t="s">
        <v>22</v>
      </c>
      <c r="AH8" s="2" t="s">
        <v>648</v>
      </c>
      <c r="AI8" s="46" t="s">
        <v>649</v>
      </c>
      <c r="AJ8" s="25" t="s">
        <v>649</v>
      </c>
      <c r="AL8" s="332" t="s">
        <v>43</v>
      </c>
      <c r="AM8" s="332">
        <v>3.5</v>
      </c>
      <c r="AO8" s="384"/>
      <c r="AP8" t="s">
        <v>437</v>
      </c>
      <c r="AQ8" t="s">
        <v>650</v>
      </c>
      <c r="AU8" s="126" t="s">
        <v>436</v>
      </c>
      <c r="AV8" s="126" t="s">
        <v>436</v>
      </c>
      <c r="AW8" s="32">
        <v>6</v>
      </c>
    </row>
    <row r="9" spans="1:52" ht="37.5" customHeight="1" thickTop="1" thickBot="1" x14ac:dyDescent="0.35">
      <c r="A9" s="681"/>
      <c r="B9" s="380" t="str">
        <f>'EAMD Scorecard'!C14</f>
        <v>S3
Prices, costs and profits</v>
      </c>
      <c r="C9" s="117" t="s">
        <v>70</v>
      </c>
      <c r="D9" s="17" t="str">
        <f>Dashboard!E35</f>
        <v>S3V1</v>
      </c>
      <c r="E9" s="17" t="str">
        <f>_xlfn.CONCAT(C9," ",'EAMD Scorecard'!D17)</f>
        <v>S3 Profits and Investments</v>
      </c>
      <c r="F9" s="30" t="str">
        <f>IF(AND('EAMD Scorecard'!E17&gt;0,'EAMD Scorecard'!E17&lt;&gt;AG$11),VLOOKUP('EAMD Scorecard'!E17,Calculation!AL$2:AM$11,2,FALSE),"")</f>
        <v/>
      </c>
      <c r="G9" s="30" t="e">
        <f>AVERAGE(F9:F9)</f>
        <v>#DIV/0!</v>
      </c>
      <c r="H9" s="15" t="str">
        <f t="shared" si="0"/>
        <v/>
      </c>
      <c r="I9" s="12" t="str">
        <f>IF(ISTEXT('EAMD Scorecard'!F17),VLOOKUP('EAMD Scorecard'!F17,AG$3:AJ$13,2,FALSE),AH$11)</f>
        <v>DSN</v>
      </c>
      <c r="J9" t="b">
        <f t="shared" si="1"/>
        <v>0</v>
      </c>
      <c r="K9" t="b">
        <f t="shared" si="2"/>
        <v>0</v>
      </c>
      <c r="L9" t="b">
        <f t="shared" si="3"/>
        <v>0</v>
      </c>
      <c r="M9" t="b">
        <f t="shared" si="4"/>
        <v>1</v>
      </c>
      <c r="O9" s="15"/>
      <c r="Q9" s="15"/>
      <c r="W9" s="29">
        <f>'EAMD Scorecard'!H17</f>
        <v>0</v>
      </c>
      <c r="AG9" s="47" t="s">
        <v>651</v>
      </c>
      <c r="AH9" s="2" t="s">
        <v>652</v>
      </c>
      <c r="AI9" s="72" t="s">
        <v>653</v>
      </c>
      <c r="AJ9" s="25" t="s">
        <v>653</v>
      </c>
      <c r="AL9" s="6" t="s">
        <v>10</v>
      </c>
      <c r="AM9" s="6">
        <v>4</v>
      </c>
      <c r="AO9" s="384"/>
      <c r="AP9" s="139" t="s">
        <v>438</v>
      </c>
      <c r="AQ9" s="139" t="s">
        <v>654</v>
      </c>
      <c r="AU9" s="126" t="s">
        <v>650</v>
      </c>
      <c r="AV9" s="126" t="s">
        <v>437</v>
      </c>
      <c r="AW9" s="32">
        <v>7</v>
      </c>
    </row>
    <row r="10" spans="1:52" ht="37.5" customHeight="1" thickTop="1" thickBot="1" x14ac:dyDescent="0.35">
      <c r="A10" s="681"/>
      <c r="B10" s="668" t="str">
        <f>'EAMD Scorecard'!C18</f>
        <v>S4
Supply chain development and after-sales service</v>
      </c>
      <c r="C10" s="117" t="s">
        <v>72</v>
      </c>
      <c r="D10" s="17" t="str">
        <f>Dashboard!E36</f>
        <v>S4V1</v>
      </c>
      <c r="E10" s="17" t="str">
        <f>_xlfn.CONCAT(C10," ",'EAMD Scorecard'!D18)</f>
        <v>S4 Length of supply chain</v>
      </c>
      <c r="F10" s="30" t="str">
        <f>IF(AND('EAMD Scorecard'!E18&gt;0,'EAMD Scorecard'!E18&lt;&gt;AG$11),VLOOKUP('EAMD Scorecard'!E18,Calculation!AL$2:AM$11,2,FALSE),"")</f>
        <v/>
      </c>
      <c r="G10" s="30" t="e">
        <f>AVERAGE(F10:F13)</f>
        <v>#DIV/0!</v>
      </c>
      <c r="H10" s="15" t="str">
        <f t="shared" si="0"/>
        <v/>
      </c>
      <c r="I10" s="12" t="str">
        <f>IF(ISTEXT('EAMD Scorecard'!F18),VLOOKUP('EAMD Scorecard'!F18,AG$3:AJ$13,2,FALSE),AH$11)</f>
        <v>DSN</v>
      </c>
      <c r="J10" t="b">
        <f t="shared" si="1"/>
        <v>0</v>
      </c>
      <c r="K10" t="b">
        <f t="shared" si="2"/>
        <v>0</v>
      </c>
      <c r="L10" t="b">
        <f t="shared" si="3"/>
        <v>0</v>
      </c>
      <c r="M10" t="b">
        <f t="shared" si="4"/>
        <v>1</v>
      </c>
      <c r="O10" s="15"/>
      <c r="Q10" s="15"/>
      <c r="W10" s="29">
        <f>'EAMD Scorecard'!H18</f>
        <v>0</v>
      </c>
      <c r="AG10" s="47" t="s">
        <v>655</v>
      </c>
      <c r="AH10" s="2" t="s">
        <v>656</v>
      </c>
      <c r="AI10" s="13" t="s">
        <v>657</v>
      </c>
      <c r="AJ10" s="26" t="s">
        <v>657</v>
      </c>
      <c r="AL10" s="8" t="s">
        <v>655</v>
      </c>
      <c r="AM10" s="8">
        <v>0</v>
      </c>
      <c r="AO10" s="384"/>
      <c r="AP10" s="139" t="s">
        <v>439</v>
      </c>
      <c r="AQ10" s="139" t="s">
        <v>658</v>
      </c>
      <c r="AU10" s="126" t="s">
        <v>654</v>
      </c>
      <c r="AV10" s="126" t="s">
        <v>438</v>
      </c>
      <c r="AW10" s="32">
        <v>8</v>
      </c>
    </row>
    <row r="11" spans="1:52" ht="37.5" customHeight="1" thickTop="1" thickBot="1" x14ac:dyDescent="0.35">
      <c r="A11" s="681"/>
      <c r="B11" s="669"/>
      <c r="C11" s="117" t="s">
        <v>72</v>
      </c>
      <c r="D11" s="17" t="str">
        <f>Dashboard!E37</f>
        <v>S4V2</v>
      </c>
      <c r="E11" s="17" t="str">
        <f>_xlfn.CONCAT(C11," ",'EAMD Scorecard'!D19)</f>
        <v>S4 Distribution channels</v>
      </c>
      <c r="F11" s="30" t="str">
        <f>IF(AND('EAMD Scorecard'!E19&gt;0,'EAMD Scorecard'!E19&lt;&gt;AG$11),VLOOKUP('EAMD Scorecard'!E19,Calculation!AL$2:AM$11,2,FALSE),"")</f>
        <v/>
      </c>
      <c r="G11" s="30"/>
      <c r="H11" s="15" t="str">
        <f t="shared" si="0"/>
        <v/>
      </c>
      <c r="I11" s="12" t="str">
        <f>IF(ISTEXT('EAMD Scorecard'!F19),VLOOKUP('EAMD Scorecard'!F19,AG$3:AJ$13,2,FALSE),AH$11)</f>
        <v>DSN</v>
      </c>
      <c r="J11" t="b">
        <f t="shared" si="1"/>
        <v>0</v>
      </c>
      <c r="K11" t="b">
        <f t="shared" si="2"/>
        <v>0</v>
      </c>
      <c r="L11" t="b">
        <f t="shared" si="3"/>
        <v>0</v>
      </c>
      <c r="M11" t="b">
        <f t="shared" si="4"/>
        <v>1</v>
      </c>
      <c r="O11" s="15"/>
      <c r="Q11" s="15"/>
      <c r="W11" s="29">
        <f>'EAMD Scorecard'!H19</f>
        <v>0</v>
      </c>
      <c r="AG11" s="47" t="s">
        <v>33</v>
      </c>
      <c r="AH11" s="2" t="s">
        <v>659</v>
      </c>
      <c r="AI11" s="13" t="s">
        <v>660</v>
      </c>
      <c r="AJ11" s="26" t="s">
        <v>660</v>
      </c>
      <c r="AL11" s="8" t="s">
        <v>33</v>
      </c>
      <c r="AM11" s="8">
        <v>0</v>
      </c>
      <c r="AO11" s="384"/>
      <c r="AP11" s="139" t="s">
        <v>440</v>
      </c>
      <c r="AQ11" s="139" t="s">
        <v>661</v>
      </c>
      <c r="AU11" s="126" t="s">
        <v>658</v>
      </c>
      <c r="AV11" s="126" t="s">
        <v>439</v>
      </c>
      <c r="AW11" s="32">
        <v>9</v>
      </c>
    </row>
    <row r="12" spans="1:52" ht="20.25" thickTop="1" thickBot="1" x14ac:dyDescent="0.35">
      <c r="A12" s="681"/>
      <c r="B12" s="669"/>
      <c r="C12" s="117" t="s">
        <v>72</v>
      </c>
      <c r="D12" s="17" t="str">
        <f>Dashboard!E38</f>
        <v>S4V3</v>
      </c>
      <c r="E12" s="17" t="str">
        <f>_xlfn.CONCAT(C12," ",'EAMD Scorecard'!D21)</f>
        <v>S4 Initial suppliers</v>
      </c>
      <c r="F12" s="30" t="str">
        <f>IF(AND('EAMD Scorecard'!E21&gt;0,'EAMD Scorecard'!E21&lt;&gt;AG$11),VLOOKUP('EAMD Scorecard'!E21,Calculation!AL$2:AM$11,2,FALSE),"")</f>
        <v/>
      </c>
      <c r="G12" s="30"/>
      <c r="H12" s="15" t="str">
        <f t="shared" si="0"/>
        <v/>
      </c>
      <c r="I12" s="12" t="str">
        <f>IF(ISTEXT('EAMD Scorecard'!F21),VLOOKUP('EAMD Scorecard'!F21,AG$3:AJ$13,2,FALSE),AH$11)</f>
        <v>DSN</v>
      </c>
      <c r="J12" t="b">
        <f t="shared" si="1"/>
        <v>0</v>
      </c>
      <c r="K12" t="b">
        <f t="shared" si="2"/>
        <v>0</v>
      </c>
      <c r="L12" t="b">
        <f t="shared" si="3"/>
        <v>0</v>
      </c>
      <c r="M12" t="b">
        <f t="shared" si="4"/>
        <v>1</v>
      </c>
      <c r="O12" s="15"/>
      <c r="Q12" s="15"/>
      <c r="W12" s="29">
        <f>'EAMD Scorecard'!H21</f>
        <v>0</v>
      </c>
      <c r="AG12" s="12"/>
      <c r="AJ12" s="73"/>
      <c r="AL12" s="134" t="s">
        <v>662</v>
      </c>
      <c r="AM12" s="2">
        <v>5</v>
      </c>
      <c r="AO12" s="385"/>
      <c r="AU12" s="126" t="s">
        <v>661</v>
      </c>
      <c r="AV12" s="126" t="s">
        <v>440</v>
      </c>
      <c r="AW12" s="32">
        <v>10</v>
      </c>
    </row>
    <row r="13" spans="1:52" ht="20.25" thickTop="1" thickBot="1" x14ac:dyDescent="0.35">
      <c r="A13" s="681"/>
      <c r="B13" s="670"/>
      <c r="C13" s="117" t="s">
        <v>72</v>
      </c>
      <c r="D13" s="17" t="str">
        <f>Dashboard!E39</f>
        <v>S4V4</v>
      </c>
      <c r="E13" s="17" t="str">
        <f>_xlfn.CONCAT(C13," ",'EAMD Scorecard'!D22)</f>
        <v>S4 After-sales service providers</v>
      </c>
      <c r="F13" s="30" t="str">
        <f>IF(AND('EAMD Scorecard'!E22&gt;0,'EAMD Scorecard'!E22&lt;&gt;AG$11),VLOOKUP('EAMD Scorecard'!E22,Calculation!AL$2:AM$11,2,FALSE),"")</f>
        <v/>
      </c>
      <c r="G13" s="30"/>
      <c r="H13" s="15" t="str">
        <f t="shared" si="0"/>
        <v/>
      </c>
      <c r="I13" s="12" t="str">
        <f>IF(ISTEXT('EAMD Scorecard'!F22),VLOOKUP('EAMD Scorecard'!F22,AG$3:AJ$13,2,FALSE),AH$11)</f>
        <v>DSN</v>
      </c>
      <c r="J13" t="b">
        <f t="shared" si="1"/>
        <v>0</v>
      </c>
      <c r="K13" t="b">
        <f t="shared" si="2"/>
        <v>0</v>
      </c>
      <c r="L13" t="b">
        <f t="shared" si="3"/>
        <v>0</v>
      </c>
      <c r="M13" t="b">
        <f t="shared" si="4"/>
        <v>1</v>
      </c>
      <c r="O13" s="15"/>
      <c r="Q13" s="15"/>
      <c r="W13" s="29">
        <f>'EAMD Scorecard'!H22</f>
        <v>0</v>
      </c>
      <c r="AG13" s="12"/>
      <c r="AJ13" s="70"/>
      <c r="AL13" s="7" t="s">
        <v>663</v>
      </c>
      <c r="AM13" s="2">
        <v>6</v>
      </c>
      <c r="AO13" s="385"/>
      <c r="AU13" s="126"/>
      <c r="AV13" s="126"/>
      <c r="AW13">
        <f>COUNT(AW2:AW12)</f>
        <v>10</v>
      </c>
    </row>
    <row r="14" spans="1:52" ht="27" thickTop="1" thickBot="1" x14ac:dyDescent="0.35">
      <c r="A14" s="681"/>
      <c r="B14" s="1" t="str">
        <f>'EAMD Scorecard'!C26</f>
        <v>S5
Warranties</v>
      </c>
      <c r="C14" s="117" t="s">
        <v>74</v>
      </c>
      <c r="D14" s="17" t="str">
        <f>Dashboard!E40</f>
        <v>S5V1</v>
      </c>
      <c r="E14" s="17" t="str">
        <f>_xlfn.CONCAT(C14," ",'EAMD Scorecard'!D26)</f>
        <v>S5 Warranties</v>
      </c>
      <c r="F14" s="30" t="str">
        <f>IF(AND('EAMD Scorecard'!E26&gt;0,'EAMD Scorecard'!E26&lt;&gt;AG$11),VLOOKUP('EAMD Scorecard'!E26,Calculation!AL$2:AM$11,2,FALSE),"")</f>
        <v/>
      </c>
      <c r="G14" s="30" t="e">
        <f>AVERAGE(F14)</f>
        <v>#DIV/0!</v>
      </c>
      <c r="H14" s="15" t="str">
        <f t="shared" si="0"/>
        <v/>
      </c>
      <c r="I14" s="12" t="str">
        <f>IF(ISTEXT('EAMD Scorecard'!F26),VLOOKUP('EAMD Scorecard'!F26,AG$3:AJ$13,2,FALSE),AH$11)</f>
        <v>DSN</v>
      </c>
      <c r="J14" t="b">
        <f t="shared" si="1"/>
        <v>0</v>
      </c>
      <c r="K14" t="b">
        <f t="shared" si="2"/>
        <v>0</v>
      </c>
      <c r="L14" t="b">
        <f t="shared" si="3"/>
        <v>0</v>
      </c>
      <c r="M14" t="b">
        <f t="shared" si="4"/>
        <v>1</v>
      </c>
      <c r="O14" s="15"/>
      <c r="Q14" s="15"/>
      <c r="W14" s="29">
        <f>'EAMD Scorecard'!H26</f>
        <v>0</v>
      </c>
      <c r="AO14" s="385"/>
    </row>
    <row r="15" spans="1:52" ht="20.25" thickTop="1" thickBot="1" x14ac:dyDescent="0.35">
      <c r="A15" s="681"/>
      <c r="B15" s="667" t="str">
        <f>'EAMD Scorecard'!C27</f>
        <v>S6
Entrepreneurial skills</v>
      </c>
      <c r="C15" s="118" t="s">
        <v>79</v>
      </c>
      <c r="D15" s="17" t="str">
        <f>Dashboard!E41</f>
        <v>S6V1</v>
      </c>
      <c r="E15" s="17" t="str">
        <f>_xlfn.CONCAT(C15," ",'EAMD Scorecard'!D27)</f>
        <v>S6 Business skills</v>
      </c>
      <c r="F15" s="30" t="str">
        <f>IF(AND('EAMD Scorecard'!E27&gt;0,'EAMD Scorecard'!E27&lt;&gt;AG$11),VLOOKUP('EAMD Scorecard'!E27,Calculation!AL$2:AM$11,2,FALSE),"")</f>
        <v/>
      </c>
      <c r="G15" s="30" t="e">
        <f>AVERAGE(F15:F17)</f>
        <v>#DIV/0!</v>
      </c>
      <c r="H15" s="15" t="str">
        <f t="shared" si="0"/>
        <v/>
      </c>
      <c r="I15" s="12" t="str">
        <f>IF(ISTEXT('EAMD Scorecard'!F27),VLOOKUP('EAMD Scorecard'!F27,AG$3:AJ$13,2,FALSE),AH$11)</f>
        <v>DSN</v>
      </c>
      <c r="J15" t="b">
        <f t="shared" si="1"/>
        <v>0</v>
      </c>
      <c r="K15" t="b">
        <f t="shared" si="2"/>
        <v>0</v>
      </c>
      <c r="L15" t="b">
        <f t="shared" si="3"/>
        <v>0</v>
      </c>
      <c r="M15" t="b">
        <f t="shared" si="4"/>
        <v>1</v>
      </c>
      <c r="O15" s="15"/>
      <c r="Q15" s="15"/>
      <c r="W15" s="29">
        <f>'EAMD Scorecard'!H27</f>
        <v>0</v>
      </c>
      <c r="AU15" s="32"/>
      <c r="AV15" s="32"/>
    </row>
    <row r="16" spans="1:52" ht="20.25" thickTop="1" thickBot="1" x14ac:dyDescent="0.35">
      <c r="A16" s="681"/>
      <c r="B16" s="667"/>
      <c r="C16" s="118" t="s">
        <v>79</v>
      </c>
      <c r="D16" s="17" t="str">
        <f>Dashboard!E42</f>
        <v>S6V2</v>
      </c>
      <c r="E16" s="17" t="str">
        <f>_xlfn.CONCAT(C16," ",'EAMD Scorecard'!D29)</f>
        <v>S6 Marketing skills</v>
      </c>
      <c r="F16" s="30" t="str">
        <f>IF(AND('EAMD Scorecard'!E29&gt;0,'EAMD Scorecard'!E29&lt;&gt;AG$11),VLOOKUP('EAMD Scorecard'!E29,Calculation!AL$2:AM$11,2,FALSE),"")</f>
        <v/>
      </c>
      <c r="G16" s="30"/>
      <c r="H16" s="15" t="str">
        <f t="shared" si="0"/>
        <v/>
      </c>
      <c r="I16" s="12" t="str">
        <f>IF(ISTEXT('EAMD Scorecard'!F29),VLOOKUP('EAMD Scorecard'!F29,AG$3:AJ$13,2,FALSE),AH$11)</f>
        <v>DSN</v>
      </c>
      <c r="J16" t="b">
        <f t="shared" si="1"/>
        <v>0</v>
      </c>
      <c r="K16" t="b">
        <f t="shared" si="2"/>
        <v>0</v>
      </c>
      <c r="L16" t="b">
        <f t="shared" si="3"/>
        <v>0</v>
      </c>
      <c r="M16" t="b">
        <f t="shared" si="4"/>
        <v>1</v>
      </c>
      <c r="O16" s="15"/>
      <c r="Q16" s="15"/>
      <c r="W16" s="29">
        <f>'EAMD Scorecard'!H29</f>
        <v>0</v>
      </c>
    </row>
    <row r="17" spans="1:48" s="12" customFormat="1" ht="33" customHeight="1" thickTop="1" thickBot="1" x14ac:dyDescent="0.35">
      <c r="A17" s="681"/>
      <c r="B17" s="667"/>
      <c r="C17" s="118" t="s">
        <v>79</v>
      </c>
      <c r="D17" s="17" t="str">
        <f>Dashboard!E43</f>
        <v>S6V3</v>
      </c>
      <c r="E17" s="17" t="str">
        <f>_xlfn.CONCAT(C17," ",'EAMD Scorecard'!D31)</f>
        <v>S6 Production skills</v>
      </c>
      <c r="F17" s="30" t="str">
        <f>IF(AND('EAMD Scorecard'!E31&gt;0,'EAMD Scorecard'!E31&lt;&gt;AG$11),VLOOKUP('EAMD Scorecard'!E31,Calculation!AL$2:AM$11,2,FALSE),"")</f>
        <v/>
      </c>
      <c r="G17" s="30"/>
      <c r="H17" s="15" t="str">
        <f t="shared" si="0"/>
        <v/>
      </c>
      <c r="I17" s="12" t="str">
        <f>IF(ISTEXT('EAMD Scorecard'!F31),VLOOKUP('EAMD Scorecard'!F31,AG$3:AJ$13,2,FALSE),AH$11)</f>
        <v>DSN</v>
      </c>
      <c r="J17" t="b">
        <f t="shared" si="1"/>
        <v>0</v>
      </c>
      <c r="K17" t="b">
        <f t="shared" si="2"/>
        <v>0</v>
      </c>
      <c r="L17" t="b">
        <f t="shared" si="3"/>
        <v>0</v>
      </c>
      <c r="M17" t="b">
        <f t="shared" si="4"/>
        <v>1</v>
      </c>
      <c r="N17"/>
      <c r="O17" s="15"/>
      <c r="P17"/>
      <c r="Q17" s="15"/>
      <c r="R17"/>
      <c r="S17"/>
      <c r="W17" s="29">
        <f>'EAMD Scorecard'!H31</f>
        <v>0</v>
      </c>
      <c r="X17"/>
      <c r="Y17"/>
      <c r="AG17"/>
      <c r="AH17"/>
      <c r="AI17"/>
      <c r="AJ17"/>
      <c r="AK17"/>
      <c r="AL17"/>
      <c r="AO17"/>
      <c r="AU17"/>
      <c r="AV17"/>
    </row>
    <row r="18" spans="1:48" ht="27" thickTop="1" thickBot="1" x14ac:dyDescent="0.35">
      <c r="A18" s="671" t="s">
        <v>154</v>
      </c>
      <c r="B18" s="1" t="str">
        <f>'EAMD Scorecard'!C37</f>
        <v>D1
Product and service diversity</v>
      </c>
      <c r="C18" s="119" t="s">
        <v>81</v>
      </c>
      <c r="D18" s="17" t="str">
        <f>Dashboard!E45</f>
        <v>D1V1</v>
      </c>
      <c r="E18" s="17" t="str">
        <f>_xlfn.CONCAT(C18," ",'EAMD Scorecard'!D37)</f>
        <v>D1 Diversity</v>
      </c>
      <c r="F18" s="30" t="str">
        <f>IF(AND('EAMD Scorecard'!E37&gt;0,'EAMD Scorecard'!E37&lt;&gt;AG$11),VLOOKUP('EAMD Scorecard'!E37,Calculation!AL$2:AM$11,2,FALSE),"")</f>
        <v/>
      </c>
      <c r="G18" s="30" t="e">
        <f>AVERAGE(F18)</f>
        <v>#DIV/0!</v>
      </c>
      <c r="H18" s="15" t="str">
        <f t="shared" si="0"/>
        <v/>
      </c>
      <c r="I18" s="12" t="str">
        <f>IF(ISTEXT('EAMD Scorecard'!F37),VLOOKUP('EAMD Scorecard'!F37,AG$3:AJ$13,2,FALSE),AH$11)</f>
        <v>DSN</v>
      </c>
      <c r="J18" s="12" t="b">
        <f t="shared" ref="J18:J40" si="5">AND(F18=3,OR(I18="STA",I18="SNT",I18="NEG",I18="CON",I18="UNC"))</f>
        <v>0</v>
      </c>
      <c r="K18" t="b">
        <f t="shared" ref="K18:K40" si="6">AND(F18=4,OR(I18="STA",I18="SNT",I18="NEG",I18="CON",I18="UNC"))</f>
        <v>0</v>
      </c>
      <c r="L18" t="b">
        <f t="shared" ref="L18:L40" si="7">IF(OR(F18=".d",I18="NME"),TRUE)</f>
        <v>0</v>
      </c>
      <c r="M18" t="b">
        <f t="shared" si="4"/>
        <v>1</v>
      </c>
      <c r="O18" s="15"/>
      <c r="Q18" s="15"/>
      <c r="W18" s="29">
        <f>'EAMD Scorecard'!H37</f>
        <v>0</v>
      </c>
    </row>
    <row r="19" spans="1:48" ht="27" customHeight="1" thickTop="1" thickBot="1" x14ac:dyDescent="0.35">
      <c r="A19" s="672"/>
      <c r="B19" s="1" t="str">
        <f>'EAMD Scorecard'!C38</f>
        <v>D2
Market penetration</v>
      </c>
      <c r="C19" s="120" t="s">
        <v>83</v>
      </c>
      <c r="D19" s="17" t="str">
        <f>Dashboard!E46</f>
        <v>D2V1</v>
      </c>
      <c r="E19" s="17" t="str">
        <f>_xlfn.CONCAT(C19," ",'EAMD Scorecard'!D38)</f>
        <v>D2 Market share / Technology adopters</v>
      </c>
      <c r="F19" s="30" t="str">
        <f>IF(AND('EAMD Scorecard'!E38&gt;0,'EAMD Scorecard'!E38&lt;&gt;AG$11),VLOOKUP('EAMD Scorecard'!E38,Calculation!AL$2:AM$11,2,FALSE),"")</f>
        <v/>
      </c>
      <c r="G19" s="30" t="e">
        <f>AVERAGE(F19)</f>
        <v>#DIV/0!</v>
      </c>
      <c r="H19" s="15" t="str">
        <f t="shared" si="0"/>
        <v/>
      </c>
      <c r="I19" s="12" t="str">
        <f>IF(ISTEXT('EAMD Scorecard'!F38),VLOOKUP('EAMD Scorecard'!F38,AG$3:AJ$13,2,FALSE),AH$11)</f>
        <v>DSN</v>
      </c>
      <c r="J19" t="b">
        <f t="shared" si="5"/>
        <v>0</v>
      </c>
      <c r="K19" t="b">
        <f t="shared" si="6"/>
        <v>0</v>
      </c>
      <c r="L19" t="b">
        <f t="shared" si="7"/>
        <v>0</v>
      </c>
      <c r="M19" t="b">
        <f t="shared" si="4"/>
        <v>1</v>
      </c>
      <c r="O19" s="15"/>
      <c r="Q19" s="15"/>
      <c r="W19" s="29">
        <f>'EAMD Scorecard'!H38</f>
        <v>0</v>
      </c>
    </row>
    <row r="20" spans="1:48" ht="27" thickTop="1" thickBot="1" x14ac:dyDescent="0.35">
      <c r="A20" s="672"/>
      <c r="B20" s="1" t="str">
        <f>'EAMD Scorecard'!C39</f>
        <v>D3
Willingness to pay</v>
      </c>
      <c r="C20" s="119" t="s">
        <v>85</v>
      </c>
      <c r="D20" s="17" t="str">
        <f>Dashboard!E47</f>
        <v>D3V1</v>
      </c>
      <c r="E20" s="17" t="str">
        <f>_xlfn.CONCAT(C20," ",'EAMD Scorecard'!D39)</f>
        <v xml:space="preserve">D3 Willingness to pay </v>
      </c>
      <c r="F20" s="30" t="str">
        <f>IF(AND('EAMD Scorecard'!E39&gt;0,'EAMD Scorecard'!E39&lt;&gt;AG$11),VLOOKUP('EAMD Scorecard'!E39,Calculation!AL$2:AM$11,2,FALSE),"")</f>
        <v/>
      </c>
      <c r="G20" s="30" t="e">
        <f>AVERAGE(F20)</f>
        <v>#DIV/0!</v>
      </c>
      <c r="H20" s="15" t="str">
        <f t="shared" si="0"/>
        <v/>
      </c>
      <c r="I20" s="12" t="str">
        <f>IF(ISTEXT('EAMD Scorecard'!F39),VLOOKUP('EAMD Scorecard'!F39,AG$3:AJ$13,2,FALSE),AH$11)</f>
        <v>DSN</v>
      </c>
      <c r="J20" t="b">
        <f t="shared" si="5"/>
        <v>0</v>
      </c>
      <c r="K20" t="b">
        <f t="shared" si="6"/>
        <v>0</v>
      </c>
      <c r="L20" t="b">
        <f t="shared" si="7"/>
        <v>0</v>
      </c>
      <c r="M20" t="b">
        <f t="shared" si="4"/>
        <v>1</v>
      </c>
      <c r="O20" s="15"/>
      <c r="Q20" s="15"/>
      <c r="W20" s="29">
        <f>'EAMD Scorecard'!H39</f>
        <v>0</v>
      </c>
    </row>
    <row r="21" spans="1:48" ht="27" thickTop="1" thickBot="1" x14ac:dyDescent="0.35">
      <c r="A21" s="672"/>
      <c r="B21" s="1" t="str">
        <f>'EAMD Scorecard'!C40</f>
        <v>D4
Systems in use</v>
      </c>
      <c r="C21" s="119" t="s">
        <v>87</v>
      </c>
      <c r="D21" s="17" t="str">
        <f>Dashboard!E48</f>
        <v>D4V1</v>
      </c>
      <c r="E21" s="17" t="str">
        <f>_xlfn.CONCAT(C21," ",'EAMD Scorecard'!D40)</f>
        <v>D4 Usage rate</v>
      </c>
      <c r="F21" s="30" t="str">
        <f>IF(AND('EAMD Scorecard'!E40&gt;0,'EAMD Scorecard'!E40&lt;&gt;AG$11),VLOOKUP('EAMD Scorecard'!E40,Calculation!AL$2:AM$11,2,FALSE),"")</f>
        <v/>
      </c>
      <c r="G21" s="30" t="e">
        <f>AVERAGE(F21:F21)</f>
        <v>#DIV/0!</v>
      </c>
      <c r="H21" s="15" t="str">
        <f t="shared" si="0"/>
        <v/>
      </c>
      <c r="I21" s="12" t="str">
        <f>IF(ISTEXT('EAMD Scorecard'!F40),VLOOKUP('EAMD Scorecard'!F40,AG$3:AJ$13,2,FALSE),AH$11)</f>
        <v>DSN</v>
      </c>
      <c r="J21" t="b">
        <f t="shared" si="5"/>
        <v>0</v>
      </c>
      <c r="K21" t="b">
        <f t="shared" si="6"/>
        <v>0</v>
      </c>
      <c r="L21" t="b">
        <f t="shared" si="7"/>
        <v>0</v>
      </c>
      <c r="M21" t="b">
        <f t="shared" si="4"/>
        <v>1</v>
      </c>
      <c r="O21" s="15"/>
      <c r="Q21" s="15"/>
      <c r="W21" s="29">
        <f>'EAMD Scorecard'!H40</f>
        <v>0</v>
      </c>
    </row>
    <row r="22" spans="1:48" ht="27" thickTop="1" thickBot="1" x14ac:dyDescent="0.35">
      <c r="A22" s="672"/>
      <c r="B22" s="1" t="str">
        <f>'EAMD Scorecard'!C42</f>
        <v>D5
Replacement and repair</v>
      </c>
      <c r="C22" s="119" t="s">
        <v>89</v>
      </c>
      <c r="D22" s="17" t="str">
        <f>Dashboard!E49</f>
        <v>D5V1</v>
      </c>
      <c r="E22" s="17" t="str">
        <f>_xlfn.CONCAT(C22," ",'EAMD Scorecard'!D42)</f>
        <v>D5 Replacement rate</v>
      </c>
      <c r="F22" s="30" t="str">
        <f>IF(AND('EAMD Scorecard'!E42&gt;0,'EAMD Scorecard'!E42&lt;&gt;AG$11),VLOOKUP('EAMD Scorecard'!E42,Calculation!AL$2:AM$11,2,FALSE),"")</f>
        <v/>
      </c>
      <c r="G22" s="30" t="e">
        <f>AVERAGE(F22:F22)</f>
        <v>#DIV/0!</v>
      </c>
      <c r="H22" s="15" t="str">
        <f t="shared" si="0"/>
        <v/>
      </c>
      <c r="I22" s="12" t="str">
        <f>IF(ISTEXT('EAMD Scorecard'!F42),VLOOKUP('EAMD Scorecard'!F42,AG$3:AJ$13,2,FALSE),AH$11)</f>
        <v>DSN</v>
      </c>
      <c r="J22" t="b">
        <f t="shared" si="5"/>
        <v>0</v>
      </c>
      <c r="K22" t="b">
        <f t="shared" si="6"/>
        <v>0</v>
      </c>
      <c r="L22" t="b">
        <f t="shared" si="7"/>
        <v>0</v>
      </c>
      <c r="M22" t="b">
        <f t="shared" si="4"/>
        <v>1</v>
      </c>
      <c r="O22" s="15"/>
      <c r="Q22" s="15"/>
      <c r="W22" s="29">
        <f>'EAMD Scorecard'!H42</f>
        <v>0</v>
      </c>
    </row>
    <row r="23" spans="1:48" ht="20.25" thickTop="1" thickBot="1" x14ac:dyDescent="0.35">
      <c r="A23" s="672"/>
      <c r="B23" s="666" t="str">
        <f>'EAMD Scorecard'!C44</f>
        <v>D6
Consumer awareness and perception</v>
      </c>
      <c r="C23" s="119" t="s">
        <v>91</v>
      </c>
      <c r="D23" s="17" t="str">
        <f>Dashboard!E50</f>
        <v>D6V1</v>
      </c>
      <c r="E23" s="17" t="str">
        <f>_xlfn.CONCAT(C23," ",'EAMD Scorecard'!D44)</f>
        <v>D6 Awareness</v>
      </c>
      <c r="F23" s="30" t="str">
        <f>IF(AND('EAMD Scorecard'!E44&gt;0,'EAMD Scorecard'!E44&lt;&gt;AG$11),VLOOKUP('EAMD Scorecard'!E44,Calculation!AL$2:AM$11,2,FALSE),"")</f>
        <v/>
      </c>
      <c r="G23" s="30" t="e">
        <f>AVERAGE(F23:F24)</f>
        <v>#DIV/0!</v>
      </c>
      <c r="H23" s="15" t="str">
        <f t="shared" si="0"/>
        <v/>
      </c>
      <c r="I23" s="12" t="str">
        <f>IF(ISTEXT('EAMD Scorecard'!F44),VLOOKUP('EAMD Scorecard'!F44,AG$3:AJ$13,2,FALSE),AH$11)</f>
        <v>DSN</v>
      </c>
      <c r="J23" t="b">
        <f t="shared" si="5"/>
        <v>0</v>
      </c>
      <c r="K23" t="b">
        <f t="shared" si="6"/>
        <v>0</v>
      </c>
      <c r="L23" t="b">
        <f t="shared" si="7"/>
        <v>0</v>
      </c>
      <c r="M23" t="b">
        <f t="shared" si="4"/>
        <v>1</v>
      </c>
      <c r="O23" s="15"/>
      <c r="Q23" s="15"/>
      <c r="W23" s="29">
        <f>'EAMD Scorecard'!H44</f>
        <v>0</v>
      </c>
    </row>
    <row r="24" spans="1:48" ht="20.25" thickTop="1" thickBot="1" x14ac:dyDescent="0.35">
      <c r="A24" s="672"/>
      <c r="B24" s="666"/>
      <c r="C24" s="119" t="s">
        <v>91</v>
      </c>
      <c r="D24" s="17" t="str">
        <f>Dashboard!E51</f>
        <v>D6V2</v>
      </c>
      <c r="E24" s="17" t="str">
        <f>_xlfn.CONCAT(C24," ",'EAMD Scorecard'!D45)</f>
        <v>D6 Perception</v>
      </c>
      <c r="F24" s="30" t="str">
        <f>IF(AND('EAMD Scorecard'!E45&gt;0,'EAMD Scorecard'!E45&lt;&gt;AG$11),VLOOKUP('EAMD Scorecard'!E45,Calculation!AL$2:AM$11,2,FALSE),"")</f>
        <v/>
      </c>
      <c r="G24" s="30"/>
      <c r="H24" s="15" t="str">
        <f t="shared" si="0"/>
        <v/>
      </c>
      <c r="I24" s="12" t="str">
        <f>IF(ISTEXT('EAMD Scorecard'!F45),VLOOKUP('EAMD Scorecard'!F45,AG$3:AJ$13,2,FALSE),AH$11)</f>
        <v>DSN</v>
      </c>
      <c r="J24" t="b">
        <f t="shared" si="5"/>
        <v>0</v>
      </c>
      <c r="K24" t="b">
        <f t="shared" si="6"/>
        <v>0</v>
      </c>
      <c r="L24" t="b">
        <f t="shared" si="7"/>
        <v>0</v>
      </c>
      <c r="M24" t="b">
        <f t="shared" si="4"/>
        <v>1</v>
      </c>
      <c r="O24" s="15"/>
      <c r="Q24" s="15"/>
      <c r="W24" s="29">
        <f>'EAMD Scorecard'!H45</f>
        <v>0</v>
      </c>
    </row>
    <row r="25" spans="1:48" ht="20.25" thickTop="1" thickBot="1" x14ac:dyDescent="0.35">
      <c r="A25" s="672"/>
      <c r="B25" s="666" t="str">
        <f>'EAMD Scorecard'!C64</f>
        <v>D7
Productive use</v>
      </c>
      <c r="C25" s="119" t="s">
        <v>757</v>
      </c>
      <c r="D25" s="17" t="str">
        <f>Dashboard!E52</f>
        <v>D7V1</v>
      </c>
      <c r="E25" s="17" t="str">
        <f>_xlfn.CONCAT(C25," ",'EAMD Scorecard'!D64)</f>
        <v>D7 Sales volume of productive use market(s)</v>
      </c>
      <c r="F25" s="30" t="str">
        <f>IF(AND('EAMD Scorecard'!E64&gt;0,'EAMD Scorecard'!E64&lt;&gt;AG$11),VLOOKUP('EAMD Scorecard'!E64,Calculation!AL$2:AM$11,2,FALSE),"")</f>
        <v/>
      </c>
      <c r="G25" s="30" t="e">
        <f>AVERAGE(F25:F26)</f>
        <v>#DIV/0!</v>
      </c>
      <c r="H25" s="15" t="str">
        <f t="shared" si="0"/>
        <v/>
      </c>
      <c r="I25" s="12" t="str">
        <f>IF(ISTEXT('EAMD Scorecard'!F64),VLOOKUP('EAMD Scorecard'!F64,AG$3:AJ$13,2,FALSE),AH$11)</f>
        <v>DSN</v>
      </c>
      <c r="J25" t="b">
        <f t="shared" ref="J25:J26" si="8">AND(F25=3,OR(I25="STA",I25="SNT",I25="NEG",I25="CON",I25="UNC"))</f>
        <v>0</v>
      </c>
      <c r="K25" t="b">
        <f t="shared" ref="K25:K26" si="9">AND(F25=4,OR(I25="STA",I25="SNT",I25="NEG",I25="CON",I25="UNC"))</f>
        <v>0</v>
      </c>
      <c r="L25" t="b">
        <f t="shared" ref="L25:L26" si="10">IF(OR(F25=".d",I25="NME"),TRUE)</f>
        <v>0</v>
      </c>
      <c r="M25" t="b">
        <f t="shared" ref="M25:M26" si="11">IF(OR(F25=".d",I25="DSN"),TRUE)</f>
        <v>1</v>
      </c>
      <c r="O25" s="15"/>
      <c r="Q25" s="15"/>
      <c r="W25" s="29">
        <f>'EAMD Scorecard'!H64</f>
        <v>0</v>
      </c>
    </row>
    <row r="26" spans="1:48" ht="27" thickTop="1" thickBot="1" x14ac:dyDescent="0.35">
      <c r="A26" s="673"/>
      <c r="B26" s="666"/>
      <c r="C26" s="119" t="s">
        <v>757</v>
      </c>
      <c r="D26" s="17" t="str">
        <f>Dashboard!E53</f>
        <v>D7V2</v>
      </c>
      <c r="E26" s="17" t="str">
        <f>_xlfn.CONCAT(C26," ",'EAMD Scorecard'!D65)</f>
        <v>D7 Economic capacity to invest in productive use</v>
      </c>
      <c r="F26" s="30" t="str">
        <f>IF(AND('EAMD Scorecard'!E65&gt;0,'EAMD Scorecard'!E65&lt;&gt;AG$11),VLOOKUP('EAMD Scorecard'!E65,Calculation!AL$2:AM$11,2,FALSE),"")</f>
        <v/>
      </c>
      <c r="G26" s="30"/>
      <c r="H26" s="15" t="str">
        <f t="shared" si="0"/>
        <v/>
      </c>
      <c r="I26" s="12" t="e">
        <f>VLOOKUP('EAMD Scorecard'!F65,AG$3:AJ$13,2,FALSE)</f>
        <v>#N/A</v>
      </c>
      <c r="J26" t="e">
        <f t="shared" si="8"/>
        <v>#N/A</v>
      </c>
      <c r="K26" t="e">
        <f t="shared" si="9"/>
        <v>#N/A</v>
      </c>
      <c r="L26" t="e">
        <f t="shared" si="10"/>
        <v>#N/A</v>
      </c>
      <c r="M26" t="e">
        <f t="shared" si="11"/>
        <v>#N/A</v>
      </c>
      <c r="O26" s="15"/>
      <c r="Q26" s="15"/>
      <c r="W26" s="29">
        <f>'EAMD Scorecard'!H65</f>
        <v>0</v>
      </c>
    </row>
    <row r="27" spans="1:48" ht="20.25" thickTop="1" thickBot="1" x14ac:dyDescent="0.35">
      <c r="A27" s="680" t="s">
        <v>170</v>
      </c>
      <c r="B27" s="666" t="str">
        <f>'EAMD Scorecard'!C48</f>
        <v>E1
Policy</v>
      </c>
      <c r="C27" s="119" t="s">
        <v>93</v>
      </c>
      <c r="D27" s="17" t="str">
        <f>Dashboard!E55</f>
        <v>E1V1</v>
      </c>
      <c r="E27" s="17" t="str">
        <f>_xlfn.CONCAT(C27," ",'EAMD Scorecard'!D48)</f>
        <v>E1 National plans</v>
      </c>
      <c r="F27" s="30" t="str">
        <f>IF(AND('EAMD Scorecard'!E48&gt;0,'EAMD Scorecard'!E48&lt;&gt;AG$11),VLOOKUP('EAMD Scorecard'!E48,Calculation!AL$2:AM$11,2,FALSE),"")</f>
        <v/>
      </c>
      <c r="G27" s="30" t="e">
        <f>AVERAGE(F27:F29)</f>
        <v>#DIV/0!</v>
      </c>
      <c r="H27" s="15" t="str">
        <f t="shared" si="0"/>
        <v/>
      </c>
      <c r="I27" s="12" t="str">
        <f>IF(ISTEXT('EAMD Scorecard'!F48),VLOOKUP('EAMD Scorecard'!F48,AG$3:AJ$13,2,FALSE),AH$11)</f>
        <v>DSN</v>
      </c>
      <c r="J27" t="b">
        <f t="shared" si="5"/>
        <v>0</v>
      </c>
      <c r="K27" t="b">
        <f t="shared" si="6"/>
        <v>0</v>
      </c>
      <c r="L27" t="b">
        <f t="shared" si="7"/>
        <v>0</v>
      </c>
      <c r="M27" t="b">
        <f t="shared" si="4"/>
        <v>1</v>
      </c>
      <c r="O27" s="15"/>
      <c r="Q27" s="15"/>
      <c r="W27" s="29">
        <f>'EAMD Scorecard'!H48</f>
        <v>0</v>
      </c>
    </row>
    <row r="28" spans="1:48" ht="20.25" thickTop="1" thickBot="1" x14ac:dyDescent="0.35">
      <c r="A28" s="681"/>
      <c r="B28" s="666"/>
      <c r="C28" s="119" t="s">
        <v>93</v>
      </c>
      <c r="D28" s="17" t="str">
        <f>Dashboard!E56</f>
        <v>E1V2</v>
      </c>
      <c r="E28" s="17" t="str">
        <f>_xlfn.CONCAT(C28," ",'EAMD Scorecard'!D49)</f>
        <v>E1 Policy</v>
      </c>
      <c r="F28" s="30" t="str">
        <f>IF(AND('EAMD Scorecard'!E49&gt;0,'EAMD Scorecard'!E49&lt;&gt;AG$11),VLOOKUP('EAMD Scorecard'!E49,Calculation!AL$2:AM$11,2,FALSE),"")</f>
        <v/>
      </c>
      <c r="G28" s="30"/>
      <c r="H28" s="15" t="str">
        <f t="shared" si="0"/>
        <v/>
      </c>
      <c r="I28" s="12" t="str">
        <f>IF(ISTEXT('EAMD Scorecard'!F49),VLOOKUP('EAMD Scorecard'!F49,AG$3:AJ$13,2,FALSE),AH$11)</f>
        <v>DSN</v>
      </c>
      <c r="J28" t="b">
        <f t="shared" si="5"/>
        <v>0</v>
      </c>
      <c r="K28" t="b">
        <f t="shared" si="6"/>
        <v>0</v>
      </c>
      <c r="L28" t="b">
        <f t="shared" si="7"/>
        <v>0</v>
      </c>
      <c r="M28" t="b">
        <f t="shared" si="4"/>
        <v>1</v>
      </c>
      <c r="O28" s="15"/>
      <c r="Q28" s="15"/>
      <c r="W28" s="29">
        <f>'EAMD Scorecard'!H49</f>
        <v>0</v>
      </c>
    </row>
    <row r="29" spans="1:48" ht="20.25" thickTop="1" thickBot="1" x14ac:dyDescent="0.35">
      <c r="A29" s="681"/>
      <c r="B29" s="666"/>
      <c r="C29" s="119" t="s">
        <v>93</v>
      </c>
      <c r="D29" s="17" t="str">
        <f>Dashboard!E57</f>
        <v>E1V3</v>
      </c>
      <c r="E29" s="17" t="str">
        <f>_xlfn.CONCAT(C29," ",'EAMD Scorecard'!D50)</f>
        <v>E1 Product taxes</v>
      </c>
      <c r="F29" s="30" t="str">
        <f>IF(AND('EAMD Scorecard'!E50&gt;0,'EAMD Scorecard'!E50&lt;&gt;AG$11),VLOOKUP('EAMD Scorecard'!E50,Calculation!AL$2:AM$11,2,FALSE),"")</f>
        <v/>
      </c>
      <c r="G29" s="30"/>
      <c r="H29" s="15" t="str">
        <f t="shared" si="0"/>
        <v/>
      </c>
      <c r="I29" s="12" t="str">
        <f>IF(ISTEXT('EAMD Scorecard'!F50),VLOOKUP('EAMD Scorecard'!F50,AG$3:AJ$13,2,FALSE),AH$11)</f>
        <v>DSN</v>
      </c>
      <c r="J29" t="b">
        <f t="shared" si="5"/>
        <v>0</v>
      </c>
      <c r="K29" t="b">
        <f t="shared" si="6"/>
        <v>0</v>
      </c>
      <c r="L29" t="b">
        <f t="shared" si="7"/>
        <v>0</v>
      </c>
      <c r="M29" t="b">
        <f t="shared" si="4"/>
        <v>1</v>
      </c>
      <c r="O29" s="15"/>
      <c r="Q29" s="15"/>
      <c r="W29" s="29">
        <f>'EAMD Scorecard'!H50</f>
        <v>0</v>
      </c>
    </row>
    <row r="30" spans="1:48" ht="19.5" customHeight="1" thickTop="1" thickBot="1" x14ac:dyDescent="0.35">
      <c r="A30" s="681"/>
      <c r="B30" s="668" t="str">
        <f>'EAMD Scorecard'!C52</f>
        <v>E2
Access to finance</v>
      </c>
      <c r="C30" s="121" t="s">
        <v>95</v>
      </c>
      <c r="D30" s="17" t="str">
        <f>Dashboard!E58</f>
        <v>E2V1</v>
      </c>
      <c r="E30" s="17" t="str">
        <f>_xlfn.CONCAT(C30," ",'EAMD Scorecard'!D52)</f>
        <v>E2 Subsidies</v>
      </c>
      <c r="F30" s="30" t="str">
        <f>IF(AND('EAMD Scorecard'!E52&gt;0,'EAMD Scorecard'!E52&lt;&gt;AG$11),VLOOKUP('EAMD Scorecard'!E52,Calculation!AL$2:AM$11,2,FALSE),"")</f>
        <v/>
      </c>
      <c r="G30" s="30" t="e">
        <f>AVERAGE(F30:F32)</f>
        <v>#DIV/0!</v>
      </c>
      <c r="H30" s="15" t="str">
        <f t="shared" si="0"/>
        <v/>
      </c>
      <c r="I30" s="12" t="str">
        <f>IF(ISTEXT('EAMD Scorecard'!F52),VLOOKUP('EAMD Scorecard'!F52,AG$3:AJ$13,2,FALSE),AH$11)</f>
        <v>DSN</v>
      </c>
      <c r="J30" t="b">
        <f t="shared" si="5"/>
        <v>0</v>
      </c>
      <c r="K30" t="b">
        <f t="shared" si="6"/>
        <v>0</v>
      </c>
      <c r="L30" t="b">
        <f t="shared" si="7"/>
        <v>0</v>
      </c>
      <c r="M30" t="b">
        <f t="shared" si="4"/>
        <v>1</v>
      </c>
      <c r="O30" s="15"/>
      <c r="Q30" s="15"/>
      <c r="W30" s="29">
        <f>'EAMD Scorecard'!H52</f>
        <v>0</v>
      </c>
    </row>
    <row r="31" spans="1:48" ht="27" thickTop="1" thickBot="1" x14ac:dyDescent="0.35">
      <c r="A31" s="681"/>
      <c r="B31" s="669"/>
      <c r="C31" s="121" t="s">
        <v>95</v>
      </c>
      <c r="D31" s="17" t="str">
        <f>Dashboard!E59</f>
        <v>E2V2</v>
      </c>
      <c r="E31" s="17" t="str">
        <f>_xlfn.CONCAT(C31," ",'EAMD Scorecard'!D53)</f>
        <v>E2 Financing options and investments by suppliers</v>
      </c>
      <c r="F31" s="30" t="str">
        <f>IF(AND('EAMD Scorecard'!E53&gt;0,'EAMD Scorecard'!E53&lt;&gt;AG$11),VLOOKUP('EAMD Scorecard'!E53,Calculation!AL$2:AM$11,2,FALSE),"")</f>
        <v/>
      </c>
      <c r="G31" s="30"/>
      <c r="H31" s="15" t="str">
        <f t="shared" si="0"/>
        <v/>
      </c>
      <c r="I31" s="12" t="str">
        <f>IF(ISTEXT('EAMD Scorecard'!F53),VLOOKUP('EAMD Scorecard'!F53,AG$3:AJ$13,2,FALSE),AH$11)</f>
        <v>DSN</v>
      </c>
      <c r="J31" t="b">
        <f t="shared" si="5"/>
        <v>0</v>
      </c>
      <c r="K31" t="b">
        <f t="shared" si="6"/>
        <v>0</v>
      </c>
      <c r="L31" t="b">
        <f t="shared" si="7"/>
        <v>0</v>
      </c>
      <c r="M31" t="b">
        <f t="shared" si="4"/>
        <v>1</v>
      </c>
      <c r="O31" s="15"/>
      <c r="Q31" s="15"/>
      <c r="W31" s="29">
        <f>'EAMD Scorecard'!H53</f>
        <v>0</v>
      </c>
    </row>
    <row r="32" spans="1:48" ht="20.25" thickTop="1" thickBot="1" x14ac:dyDescent="0.35">
      <c r="A32" s="681"/>
      <c r="B32" s="670"/>
      <c r="C32" s="121" t="s">
        <v>95</v>
      </c>
      <c r="D32" s="17" t="str">
        <f>Dashboard!E60</f>
        <v>E2V3</v>
      </c>
      <c r="E32" s="17" t="str">
        <f>_xlfn.CONCAT(C32," ",'EAMD Scorecard'!D54)</f>
        <v>E2 Financing options for consumers</v>
      </c>
      <c r="F32" s="30" t="str">
        <f>IF(AND('EAMD Scorecard'!E54&gt;0,'EAMD Scorecard'!E54&lt;&gt;AG$11),VLOOKUP('EAMD Scorecard'!E54,Calculation!AL$2:AM$11,2,FALSE),"")</f>
        <v/>
      </c>
      <c r="G32" s="30"/>
      <c r="H32" s="15" t="str">
        <f t="shared" si="0"/>
        <v/>
      </c>
      <c r="I32" s="12" t="str">
        <f>IF(ISTEXT('EAMD Scorecard'!F54),VLOOKUP('EAMD Scorecard'!F54,AG$3:AJ$13,2,FALSE),AH$11)</f>
        <v>DSN</v>
      </c>
      <c r="J32" t="b">
        <f t="shared" si="5"/>
        <v>0</v>
      </c>
      <c r="K32" t="b">
        <f t="shared" si="6"/>
        <v>0</v>
      </c>
      <c r="L32" t="b">
        <f t="shared" si="7"/>
        <v>0</v>
      </c>
      <c r="M32" t="b">
        <f t="shared" si="4"/>
        <v>1</v>
      </c>
      <c r="O32" s="15"/>
      <c r="Q32" s="15"/>
      <c r="W32" s="29">
        <f>'EAMD Scorecard'!H54</f>
        <v>0</v>
      </c>
    </row>
    <row r="33" spans="1:37" ht="40.15" customHeight="1" thickTop="1" thickBot="1" x14ac:dyDescent="0.35">
      <c r="A33" s="681"/>
      <c r="B33" s="682" t="str">
        <f>'EAMD Scorecard'!C55</f>
        <v>E3
Quality regulations, norms and standards</v>
      </c>
      <c r="C33" s="122" t="s">
        <v>97</v>
      </c>
      <c r="D33" s="17" t="str">
        <f>Dashboard!E61</f>
        <v>E3V1</v>
      </c>
      <c r="E33" s="17" t="str">
        <f>_xlfn.CONCAT(C33," ",'EAMD Scorecard'!D55)</f>
        <v>E3 Regulation, Norms and standards</v>
      </c>
      <c r="F33" s="30" t="str">
        <f>IF(AND('EAMD Scorecard'!E55&gt;0,'EAMD Scorecard'!E55&lt;&gt;AG$11),VLOOKUP('EAMD Scorecard'!E55,Calculation!AL$2:AM$11,2,FALSE),"")</f>
        <v/>
      </c>
      <c r="G33" s="30" t="e">
        <f>AVERAGE(F33:F34)</f>
        <v>#DIV/0!</v>
      </c>
      <c r="H33" s="15" t="str">
        <f t="shared" si="0"/>
        <v/>
      </c>
      <c r="I33" s="12" t="str">
        <f>IF(ISTEXT('EAMD Scorecard'!F55),VLOOKUP('EAMD Scorecard'!F55,AG$3:AJ$13,2,FALSE),AH$11)</f>
        <v>DSN</v>
      </c>
      <c r="J33" t="b">
        <f t="shared" si="5"/>
        <v>0</v>
      </c>
      <c r="K33" t="b">
        <f t="shared" si="6"/>
        <v>0</v>
      </c>
      <c r="L33" t="b">
        <f t="shared" si="7"/>
        <v>0</v>
      </c>
      <c r="M33" t="b">
        <f t="shared" si="4"/>
        <v>1</v>
      </c>
      <c r="O33" s="15"/>
      <c r="Q33" s="15"/>
      <c r="W33" s="29">
        <f>'EAMD Scorecard'!H55</f>
        <v>0</v>
      </c>
    </row>
    <row r="34" spans="1:37" ht="19.5" customHeight="1" thickTop="1" thickBot="1" x14ac:dyDescent="0.35">
      <c r="A34" s="681"/>
      <c r="B34" s="683"/>
      <c r="C34" s="122" t="s">
        <v>97</v>
      </c>
      <c r="D34" s="17" t="str">
        <f>Dashboard!E62</f>
        <v>E3V2</v>
      </c>
      <c r="E34" s="17" t="str">
        <f>_xlfn.CONCAT(C34," ",'EAMD Scorecard'!D56)</f>
        <v>E3 Enforcement</v>
      </c>
      <c r="F34" s="30" t="str">
        <f>IF(AND('EAMD Scorecard'!E56&gt;0,'EAMD Scorecard'!E56&lt;&gt;AG$11),VLOOKUP('EAMD Scorecard'!E56,Calculation!AL$2:AM$11,2,FALSE),"")</f>
        <v/>
      </c>
      <c r="G34" s="30"/>
      <c r="H34" s="15" t="str">
        <f t="shared" si="0"/>
        <v/>
      </c>
      <c r="I34" s="12" t="str">
        <f>IF(ISTEXT('EAMD Scorecard'!F56),VLOOKUP('EAMD Scorecard'!F56,AG$3:AJ$13,2,FALSE),AH$11)</f>
        <v>DSN</v>
      </c>
      <c r="J34" t="b">
        <f t="shared" si="5"/>
        <v>0</v>
      </c>
      <c r="K34" t="b">
        <f t="shared" si="6"/>
        <v>0</v>
      </c>
      <c r="L34" t="b">
        <f t="shared" si="7"/>
        <v>0</v>
      </c>
      <c r="M34" t="b">
        <f t="shared" si="4"/>
        <v>1</v>
      </c>
      <c r="O34" s="15"/>
      <c r="Q34" s="15"/>
      <c r="W34" s="29">
        <f>'EAMD Scorecard'!H56</f>
        <v>0</v>
      </c>
    </row>
    <row r="35" spans="1:37" ht="27" customHeight="1" thickTop="1" thickBot="1" x14ac:dyDescent="0.35">
      <c r="A35" s="681"/>
      <c r="B35" s="682" t="str">
        <f>'EAMD Scorecard'!C57</f>
        <v>E4
Market information</v>
      </c>
      <c r="C35" s="122" t="s">
        <v>99</v>
      </c>
      <c r="D35" s="17" t="str">
        <f>Dashboard!E63</f>
        <v>E4V1</v>
      </c>
      <c r="E35" s="17" t="str">
        <f>_xlfn.CONCAT(C35," ",'EAMD Scorecard'!D57)</f>
        <v>E4 Market information</v>
      </c>
      <c r="F35" s="30" t="str">
        <f>IF(AND('EAMD Scorecard'!E57&gt;0,'EAMD Scorecard'!E57&lt;&gt;AG$11),VLOOKUP('EAMD Scorecard'!E57,Calculation!AL$2:AM$11,2,FALSE),"")</f>
        <v/>
      </c>
      <c r="G35" s="30" t="e">
        <f>AVERAGE(F35:F37)</f>
        <v>#DIV/0!</v>
      </c>
      <c r="H35" s="15" t="str">
        <f t="shared" si="0"/>
        <v/>
      </c>
      <c r="I35" s="12" t="str">
        <f>IF(ISTEXT('EAMD Scorecard'!F57),VLOOKUP('EAMD Scorecard'!F57,AG$3:AJ$13,2,FALSE),AH$11)</f>
        <v>DSN</v>
      </c>
      <c r="J35" t="b">
        <f t="shared" si="5"/>
        <v>0</v>
      </c>
      <c r="K35" t="b">
        <f t="shared" si="6"/>
        <v>0</v>
      </c>
      <c r="L35" t="b">
        <f t="shared" si="7"/>
        <v>0</v>
      </c>
      <c r="M35" t="b">
        <f t="shared" si="4"/>
        <v>1</v>
      </c>
      <c r="O35" s="15"/>
      <c r="Q35" s="15"/>
      <c r="W35" s="29">
        <f>'EAMD Scorecard'!H57</f>
        <v>0</v>
      </c>
    </row>
    <row r="36" spans="1:37" ht="19.5" customHeight="1" thickTop="1" thickBot="1" x14ac:dyDescent="0.35">
      <c r="A36" s="681"/>
      <c r="B36" s="684"/>
      <c r="C36" s="122" t="s">
        <v>99</v>
      </c>
      <c r="D36" s="17" t="str">
        <f>Dashboard!E64</f>
        <v>E4V2</v>
      </c>
      <c r="E36" s="17" t="str">
        <f>_xlfn.CONCAT(C36," ",'EAMD Scorecard'!D58)</f>
        <v>E4 Market facilitation organisations</v>
      </c>
      <c r="F36" s="30" t="str">
        <f>IF(AND('EAMD Scorecard'!E58&gt;0,'EAMD Scorecard'!E58&lt;&gt;AG$11),VLOOKUP('EAMD Scorecard'!E58,Calculation!AL$2:AM$11,2,FALSE),"")</f>
        <v/>
      </c>
      <c r="G36" s="30"/>
      <c r="H36" s="15" t="str">
        <f t="shared" si="0"/>
        <v/>
      </c>
      <c r="I36" s="12" t="str">
        <f>IF(ISTEXT('EAMD Scorecard'!F58),VLOOKUP('EAMD Scorecard'!F58,AG$3:AJ$13,2,FALSE),AH$11)</f>
        <v>DSN</v>
      </c>
      <c r="J36" t="b">
        <f t="shared" si="5"/>
        <v>0</v>
      </c>
      <c r="K36" t="b">
        <f t="shared" si="6"/>
        <v>0</v>
      </c>
      <c r="L36" t="b">
        <f t="shared" si="7"/>
        <v>0</v>
      </c>
      <c r="M36" t="b">
        <f t="shared" si="4"/>
        <v>1</v>
      </c>
      <c r="O36" s="15"/>
      <c r="Q36" s="15"/>
      <c r="W36" s="29">
        <f>'EAMD Scorecard'!H58</f>
        <v>0</v>
      </c>
    </row>
    <row r="37" spans="1:37" ht="20.25" thickTop="1" thickBot="1" x14ac:dyDescent="0.35">
      <c r="A37" s="681"/>
      <c r="B37" s="683"/>
      <c r="C37" s="122" t="s">
        <v>99</v>
      </c>
      <c r="D37" s="17" t="str">
        <f>Dashboard!E65</f>
        <v>E4V3</v>
      </c>
      <c r="E37" s="17" t="str">
        <f>_xlfn.CONCAT(C37," ",'EAMD Scorecard'!D59)</f>
        <v>E4 Awareness campaigns</v>
      </c>
      <c r="F37" s="30" t="str">
        <f>IF(AND('EAMD Scorecard'!E59&gt;0,'EAMD Scorecard'!E59&lt;&gt;AG$11),VLOOKUP('EAMD Scorecard'!E59,Calculation!AL$2:AM$11,2,FALSE),"")</f>
        <v/>
      </c>
      <c r="G37" s="30"/>
      <c r="H37" s="15" t="str">
        <f t="shared" si="0"/>
        <v/>
      </c>
      <c r="I37" s="12" t="str">
        <f>IF(ISTEXT('EAMD Scorecard'!F59),VLOOKUP('EAMD Scorecard'!F59,AG$3:AJ$13,2,FALSE),AH$11)</f>
        <v>DSN</v>
      </c>
      <c r="J37" t="b">
        <f t="shared" si="5"/>
        <v>0</v>
      </c>
      <c r="K37" t="b">
        <f t="shared" si="6"/>
        <v>0</v>
      </c>
      <c r="L37" t="b">
        <f t="shared" si="7"/>
        <v>0</v>
      </c>
      <c r="M37" t="b">
        <f t="shared" si="4"/>
        <v>1</v>
      </c>
      <c r="O37" s="15"/>
      <c r="Q37" s="15"/>
      <c r="W37" s="29">
        <f>'EAMD Scorecard'!H59</f>
        <v>0</v>
      </c>
    </row>
    <row r="38" spans="1:37" ht="27.75" thickTop="1" thickBot="1" x14ac:dyDescent="0.35">
      <c r="A38" s="681"/>
      <c r="B38" s="682" t="str">
        <f>'EAMD Scorecard'!C60</f>
        <v>E5
Expertise development</v>
      </c>
      <c r="C38" s="122" t="s">
        <v>101</v>
      </c>
      <c r="D38" s="17" t="str">
        <f>Dashboard!E66</f>
        <v>E5V1</v>
      </c>
      <c r="E38" s="17" t="str">
        <f>_xlfn.CONCAT(C38," ",'EAMD Scorecard'!D60)</f>
        <v>E5 Technical courses</v>
      </c>
      <c r="F38" s="30" t="str">
        <f>IF(AND('EAMD Scorecard'!E60&gt;0,'EAMD Scorecard'!E60&lt;&gt;AG$11),VLOOKUP('EAMD Scorecard'!E60,Calculation!AL$2:AM$11,2,FALSE),"")</f>
        <v/>
      </c>
      <c r="G38" s="30" t="e">
        <f>AVERAGE(F38:F40)</f>
        <v>#DIV/0!</v>
      </c>
      <c r="H38" s="15" t="str">
        <f t="shared" si="0"/>
        <v/>
      </c>
      <c r="I38" s="12" t="str">
        <f>IF(ISTEXT('EAMD Scorecard'!F60),VLOOKUP('EAMD Scorecard'!F60,AG$3:AJ$13,2,FALSE),AH$11)</f>
        <v>DSN</v>
      </c>
      <c r="J38" t="b">
        <f t="shared" si="5"/>
        <v>0</v>
      </c>
      <c r="K38" t="b">
        <f t="shared" si="6"/>
        <v>0</v>
      </c>
      <c r="L38" t="b">
        <f t="shared" si="7"/>
        <v>0</v>
      </c>
      <c r="M38" t="b">
        <f t="shared" si="4"/>
        <v>1</v>
      </c>
      <c r="O38" s="15"/>
      <c r="Q38" s="15"/>
      <c r="W38" s="29">
        <f>'EAMD Scorecard'!H60</f>
        <v>0</v>
      </c>
      <c r="AH38" s="51"/>
      <c r="AI38" s="52"/>
      <c r="AJ38" s="52"/>
      <c r="AK38" s="32"/>
    </row>
    <row r="39" spans="1:37" ht="27.75" thickTop="1" thickBot="1" x14ac:dyDescent="0.35">
      <c r="A39" s="681"/>
      <c r="B39" s="684"/>
      <c r="C39" s="122" t="s">
        <v>101</v>
      </c>
      <c r="D39" s="17" t="str">
        <f>Dashboard!E67</f>
        <v>E5V2</v>
      </c>
      <c r="E39" s="17" t="str">
        <f>_xlfn.CONCAT(C39," ",'EAMD Scorecard'!D61)</f>
        <v>E5 Business Development Training</v>
      </c>
      <c r="F39" s="30" t="str">
        <f>IF(AND('EAMD Scorecard'!E61&gt;0,'EAMD Scorecard'!E61&lt;&gt;AG$11),VLOOKUP('EAMD Scorecard'!E61,Calculation!AL$2:AM$11,2,FALSE),"")</f>
        <v/>
      </c>
      <c r="G39" s="30"/>
      <c r="H39" s="15" t="str">
        <f t="shared" si="0"/>
        <v/>
      </c>
      <c r="I39" s="12" t="str">
        <f>IF(ISTEXT('EAMD Scorecard'!F61),VLOOKUP('EAMD Scorecard'!F61,AG$3:AJ$13,2,FALSE),AH$11)</f>
        <v>DSN</v>
      </c>
      <c r="J39" t="b">
        <f t="shared" si="5"/>
        <v>0</v>
      </c>
      <c r="K39" t="b">
        <f t="shared" si="6"/>
        <v>0</v>
      </c>
      <c r="L39" t="b">
        <f t="shared" si="7"/>
        <v>0</v>
      </c>
      <c r="M39" t="b">
        <f t="shared" si="4"/>
        <v>1</v>
      </c>
      <c r="O39" s="15"/>
      <c r="Q39" s="15"/>
      <c r="W39" s="29">
        <f>'EAMD Scorecard'!H61</f>
        <v>0</v>
      </c>
      <c r="AH39" s="51"/>
      <c r="AI39" s="52"/>
      <c r="AJ39" s="52"/>
      <c r="AK39" s="32"/>
    </row>
    <row r="40" spans="1:37" ht="27.75" thickTop="1" thickBot="1" x14ac:dyDescent="0.35">
      <c r="A40" s="681"/>
      <c r="B40" s="683"/>
      <c r="C40" s="122" t="s">
        <v>101</v>
      </c>
      <c r="D40" s="17" t="str">
        <f>Dashboard!E68</f>
        <v>E5V3</v>
      </c>
      <c r="E40" s="17" t="str">
        <f>_xlfn.CONCAT(C40," ",'EAMD Scorecard'!D62)</f>
        <v>E5 User training</v>
      </c>
      <c r="F40" s="30" t="str">
        <f>IF(AND('EAMD Scorecard'!E62&gt;0,'EAMD Scorecard'!E62&lt;&gt;AG$11),VLOOKUP('EAMD Scorecard'!E62,Calculation!AL$2:AM$11,2,FALSE),"")</f>
        <v/>
      </c>
      <c r="G40" s="30"/>
      <c r="H40" s="15" t="str">
        <f t="shared" si="0"/>
        <v/>
      </c>
      <c r="I40" s="12" t="str">
        <f>IF(ISTEXT('EAMD Scorecard'!F62),VLOOKUP('EAMD Scorecard'!F62,AG$3:AJ$13,2,FALSE),AH$11)</f>
        <v>DSN</v>
      </c>
      <c r="J40" t="b">
        <f t="shared" si="5"/>
        <v>0</v>
      </c>
      <c r="K40" t="b">
        <f t="shared" si="6"/>
        <v>0</v>
      </c>
      <c r="L40" t="b">
        <f t="shared" si="7"/>
        <v>0</v>
      </c>
      <c r="M40" t="b">
        <f t="shared" si="4"/>
        <v>1</v>
      </c>
      <c r="O40" s="15"/>
      <c r="Q40" s="15"/>
      <c r="W40" s="29">
        <f>'EAMD Scorecard'!H62</f>
        <v>0</v>
      </c>
      <c r="AH40" s="51"/>
      <c r="AI40" s="52"/>
      <c r="AJ40" s="52"/>
      <c r="AK40" s="32"/>
    </row>
    <row r="41" spans="1:37" ht="42" customHeight="1" thickTop="1" x14ac:dyDescent="0.3">
      <c r="A41" s="123" t="s">
        <v>622</v>
      </c>
      <c r="B41" s="16">
        <f>COUNTIF(B3:B40,"*")</f>
        <v>18</v>
      </c>
      <c r="C41" s="16">
        <f>COUNTIF(C3:C40,"*")</f>
        <v>38</v>
      </c>
      <c r="D41" s="16">
        <f>COUNTIF(D3:D40,"*")</f>
        <v>38</v>
      </c>
      <c r="E41" s="16">
        <f>COUNTIF(E3:E40,"*")</f>
        <v>38</v>
      </c>
      <c r="L41"/>
      <c r="M41"/>
      <c r="O41" s="15"/>
      <c r="P41" t="str">
        <f t="array" ref="P41">IF(ROWS(P$3:P41)&gt;P$2,"",INDEX(CONCATENATE(#REF!," ",$E$3:$E$40),SMALL(IF(J$3:J$39,ROW(J$3:J$39)-ROW(J$3)+1),ROWS(P$3:P41))))</f>
        <v/>
      </c>
      <c r="Q41" s="15" t="str">
        <f t="array" ref="Q41">IF(ROWS(Q$3:Q41)&gt;Q$2,"",INDEX($H$3:$H$40,SMALL(IF(J$3:J$40,ROW(J$3:J$40)-ROW(J$3)+1),ROWS(Q$3:Q41))))</f>
        <v/>
      </c>
    </row>
    <row r="42" spans="1:37" x14ac:dyDescent="0.3">
      <c r="M42"/>
    </row>
  </sheetData>
  <sheetProtection algorithmName="SHA-512" hashValue="hbxnlO3DUVc1P/K7bLhDFxBYqpXSuNmZMX5OyeGcX/YMK/PDWW7mNnUFG3jtK3rus98xnGQornZuFBLMr/BAFg==" saltValue="wJ0UXRTUyxl4KNHckppBsQ==" spinCount="100000" sheet="1" objects="1" scenarios="1"/>
  <mergeCells count="35">
    <mergeCell ref="AZ2:AZ3"/>
    <mergeCell ref="X2:Y2"/>
    <mergeCell ref="W1:Y1"/>
    <mergeCell ref="V1:V2"/>
    <mergeCell ref="A27:A40"/>
    <mergeCell ref="B27:B29"/>
    <mergeCell ref="B30:B32"/>
    <mergeCell ref="B33:B34"/>
    <mergeCell ref="B35:B37"/>
    <mergeCell ref="B38:B40"/>
    <mergeCell ref="C1:D1"/>
    <mergeCell ref="M1:M2"/>
    <mergeCell ref="B1:B2"/>
    <mergeCell ref="B23:B24"/>
    <mergeCell ref="A3:A17"/>
    <mergeCell ref="B3:B6"/>
    <mergeCell ref="B7:B8"/>
    <mergeCell ref="B15:B17"/>
    <mergeCell ref="B10:B13"/>
    <mergeCell ref="A18:A26"/>
    <mergeCell ref="B25:B26"/>
    <mergeCell ref="AU2:AV2"/>
    <mergeCell ref="E1:E2"/>
    <mergeCell ref="F1:F2"/>
    <mergeCell ref="P1:Q1"/>
    <mergeCell ref="I1:I2"/>
    <mergeCell ref="H1:H2"/>
    <mergeCell ref="N1:O1"/>
    <mergeCell ref="L1:L2"/>
    <mergeCell ref="AL2:AM2"/>
    <mergeCell ref="AG2:AI2"/>
    <mergeCell ref="Z1:AC1"/>
    <mergeCell ref="T1:T2"/>
    <mergeCell ref="U1:U2"/>
    <mergeCell ref="AG1:AX1"/>
  </mergeCells>
  <conditionalFormatting sqref="W3:W41">
    <cfRule type="containsErrors" dxfId="0" priority="3">
      <formula>ISERROR(W3)</formula>
    </cfRule>
  </conditionalFormatting>
  <dataValidations disablePrompts="1" count="1">
    <dataValidation type="list" allowBlank="1" showInputMessage="1" showErrorMessage="1" sqref="AL18" xr:uid="{00000000-0002-0000-0500-000000000000}">
      <formula1>$AV$3:$AV$10</formula1>
    </dataValidation>
  </dataValidations>
  <pageMargins left="0.7" right="0.7" top="0.78740157499999996" bottom="0.78740157499999996" header="0.3" footer="0.3"/>
  <pageSetup paperSize="9" scale="59" orientation="portrait" horizontalDpi="4294967292"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E9550-B624-42E4-9808-222EDC3E8DA9}">
  <sheetPr codeName="Ark12">
    <tabColor theme="5" tint="-0.499984740745262"/>
  </sheetPr>
  <dimension ref="A1:AK75"/>
  <sheetViews>
    <sheetView zoomScale="90" zoomScaleNormal="90" workbookViewId="0">
      <selection activeCell="C49" sqref="C49"/>
    </sheetView>
  </sheetViews>
  <sheetFormatPr defaultRowHeight="15" x14ac:dyDescent="0.25"/>
  <cols>
    <col min="1" max="1" width="5.28515625" customWidth="1"/>
    <col min="2" max="2" width="22.7109375" customWidth="1"/>
    <col min="3" max="3" width="19.42578125" customWidth="1"/>
    <col min="4" max="4" width="17.28515625" customWidth="1"/>
    <col min="5" max="5" width="14.140625" customWidth="1"/>
    <col min="6" max="6" width="13.5703125" customWidth="1"/>
    <col min="7" max="7" width="15.140625" customWidth="1"/>
    <col min="8" max="8" width="15" customWidth="1"/>
    <col min="9" max="9" width="11.7109375" customWidth="1"/>
    <col min="10" max="10" width="9" customWidth="1"/>
    <col min="11" max="11" width="7" customWidth="1"/>
    <col min="12" max="12" width="23.7109375" customWidth="1"/>
    <col min="13" max="13" width="5.85546875" style="88" customWidth="1"/>
    <col min="14" max="14" width="6.7109375" customWidth="1"/>
    <col min="15" max="15" width="4.7109375" customWidth="1"/>
    <col min="16" max="16" width="6.140625" customWidth="1"/>
    <col min="17" max="17" width="22.42578125" customWidth="1"/>
    <col min="18" max="18" width="13.42578125" customWidth="1"/>
    <col min="19" max="19" width="3.85546875" customWidth="1"/>
    <col min="20" max="20" width="21.7109375" customWidth="1"/>
    <col min="21" max="21" width="17.42578125" customWidth="1"/>
    <col min="22" max="22" width="4.28515625" customWidth="1"/>
    <col min="23" max="23" width="31.7109375" customWidth="1"/>
    <col min="24" max="26" width="10.5703125" customWidth="1"/>
    <col min="27" max="27" width="4.28515625" customWidth="1"/>
  </cols>
  <sheetData>
    <row r="1" spans="1:37" x14ac:dyDescent="0.25">
      <c r="D1" s="687">
        <f>'EAMD Scorecard'!T4</f>
        <v>0</v>
      </c>
      <c r="E1" s="688"/>
      <c r="F1" s="688"/>
      <c r="G1" s="698">
        <f>'EAMD Scorecard'!L4</f>
        <v>0</v>
      </c>
      <c r="H1" s="688"/>
      <c r="I1" s="694"/>
      <c r="J1" s="695">
        <f>'EAMD Scorecard'!D4</f>
        <v>2024</v>
      </c>
      <c r="K1" s="696"/>
      <c r="L1" s="697"/>
      <c r="X1" s="378" t="str">
        <f>AC1</f>
        <v/>
      </c>
      <c r="Y1" s="377" t="str">
        <f>AF1</f>
        <v/>
      </c>
      <c r="Z1" s="375">
        <f>AI1</f>
        <v>2024</v>
      </c>
      <c r="AB1" s="343"/>
      <c r="AC1" s="689" t="str">
        <f>IF('EAMD Scorecard'!T4&gt;0,'EAMD Scorecard'!T4,"")</f>
        <v/>
      </c>
      <c r="AD1" s="690"/>
      <c r="AE1" s="690"/>
      <c r="AF1" s="691" t="str">
        <f>IF('EAMD Scorecard'!L4&gt;0,'EAMD Scorecard'!L4,"")</f>
        <v/>
      </c>
      <c r="AG1" s="690"/>
      <c r="AH1" s="692"/>
      <c r="AI1" s="693">
        <f>IF('EAMD Scorecard'!D4&gt;0,'EAMD Scorecard'!D4,"")</f>
        <v>2024</v>
      </c>
      <c r="AJ1" s="688"/>
      <c r="AK1" s="694"/>
    </row>
    <row r="2" spans="1:37" ht="102.75" thickBot="1" x14ac:dyDescent="0.3">
      <c r="A2" s="333" t="s">
        <v>109</v>
      </c>
      <c r="B2" s="336" t="s">
        <v>664</v>
      </c>
      <c r="C2" s="336" t="s">
        <v>665</v>
      </c>
      <c r="D2" s="90" t="s">
        <v>681</v>
      </c>
      <c r="E2" s="90" t="s">
        <v>682</v>
      </c>
      <c r="F2" s="90" t="s">
        <v>683</v>
      </c>
      <c r="G2" s="166" t="s">
        <v>681</v>
      </c>
      <c r="H2" s="166" t="s">
        <v>682</v>
      </c>
      <c r="I2" s="166" t="s">
        <v>683</v>
      </c>
      <c r="J2" s="340" t="s">
        <v>681</v>
      </c>
      <c r="K2" s="163" t="s">
        <v>682</v>
      </c>
      <c r="L2" s="163" t="s">
        <v>683</v>
      </c>
      <c r="M2" s="91" t="s">
        <v>671</v>
      </c>
      <c r="N2" s="91" t="s">
        <v>672</v>
      </c>
      <c r="O2" s="335"/>
      <c r="P2" s="399" t="s">
        <v>764</v>
      </c>
      <c r="Q2" s="336" t="s">
        <v>666</v>
      </c>
      <c r="R2" s="336" t="s">
        <v>667</v>
      </c>
      <c r="T2" s="336" t="s">
        <v>668</v>
      </c>
      <c r="U2" s="336" t="s">
        <v>669</v>
      </c>
      <c r="W2" s="336" t="s">
        <v>106</v>
      </c>
      <c r="X2" s="336" t="s">
        <v>602</v>
      </c>
      <c r="Y2" s="336" t="s">
        <v>602</v>
      </c>
      <c r="Z2" s="336" t="s">
        <v>602</v>
      </c>
      <c r="AB2" s="344" t="s">
        <v>670</v>
      </c>
      <c r="AC2" s="162" t="s">
        <v>671</v>
      </c>
      <c r="AD2" s="162" t="s">
        <v>672</v>
      </c>
      <c r="AE2" s="162" t="s">
        <v>673</v>
      </c>
      <c r="AF2" s="167" t="s">
        <v>671</v>
      </c>
      <c r="AG2" s="167" t="s">
        <v>672</v>
      </c>
      <c r="AH2" s="167" t="s">
        <v>673</v>
      </c>
      <c r="AI2" s="164" t="s">
        <v>671</v>
      </c>
      <c r="AJ2" s="164" t="s">
        <v>672</v>
      </c>
      <c r="AK2" s="165" t="s">
        <v>674</v>
      </c>
    </row>
    <row r="3" spans="1:37" x14ac:dyDescent="0.25">
      <c r="A3" t="s">
        <v>101</v>
      </c>
      <c r="B3" s="339" t="str">
        <f>VLOOKUP("Enabling environment",Labels!$A$1:$C$1001,IF(LanguageSelection="FR",3,2),FALSE)</f>
        <v>Enabling environment</v>
      </c>
      <c r="C3" s="99" t="str">
        <f>VLOOKUP("Expertise development",Labels!$A$1:$C$1000,IF(LanguageSelection="FR",3,2),FALSE)</f>
        <v>Expertise development</v>
      </c>
      <c r="D3" s="9">
        <f>IFERROR(SUM(D71:D73)/COUNTIF(D71:D73,"&gt;0"),0)</f>
        <v>0</v>
      </c>
      <c r="E3" s="9">
        <f t="shared" ref="E3:E9" si="0">ROUND(D3-0.01,0)</f>
        <v>0</v>
      </c>
      <c r="F3" t="str">
        <f t="shared" ref="F3:F20" si="1">VLOOKUP(E3,$P$3:$R$9,2,FALSE)</f>
        <v>Not Measured</v>
      </c>
      <c r="G3" s="9">
        <f>IFERROR(SUM(C71:C73)/COUNTIF(C71:C73,"&gt;0"),0)</f>
        <v>0</v>
      </c>
      <c r="H3" s="9">
        <f t="shared" ref="H3:H9" si="2">ROUND(G3-0.01,0)</f>
        <v>0</v>
      </c>
      <c r="I3" t="str">
        <f t="shared" ref="I3:I20" si="3">VLOOKUP(H3,$P$3:$R$9,2,FALSE)</f>
        <v>Not Measured</v>
      </c>
      <c r="J3" t="e">
        <f>Calculation!G38</f>
        <v>#DIV/0!</v>
      </c>
      <c r="K3" t="e">
        <f t="shared" ref="K3:K9" si="4">ROUND(J3-0.01,0)</f>
        <v>#DIV/0!</v>
      </c>
      <c r="L3" t="e">
        <f t="shared" ref="L3:L20" si="5">VLOOKUP(K3,$P$3:$R$9,2,FALSE)</f>
        <v>#DIV/0!</v>
      </c>
      <c r="M3" s="88" t="e">
        <f t="shared" ref="M3:M20" si="6">VLOOKUP(L3,Q$3:R$8,2,FALSE)</f>
        <v>#DIV/0!</v>
      </c>
      <c r="N3">
        <v>1.7</v>
      </c>
      <c r="P3" s="92">
        <v>1</v>
      </c>
      <c r="Q3" s="337" t="s">
        <v>675</v>
      </c>
      <c r="R3" s="338">
        <v>1.7</v>
      </c>
      <c r="T3" s="100" t="str">
        <f>VLOOKUP("Enabling environment",Labels!$A$1:$C$1001,IF(LanguageSelection="FR",3,2),FALSE)</f>
        <v>Enabling environment</v>
      </c>
      <c r="U3" s="2">
        <v>1</v>
      </c>
      <c r="W3" t="str">
        <f>'EAMD Scorecard'!C8</f>
        <v>S1
Suppliers</v>
      </c>
      <c r="X3">
        <f>IFERROR(AVERAGE(D25:D28), 0)</f>
        <v>0</v>
      </c>
      <c r="Y3">
        <f>IFERROR(AVERAGE(C25:C28), 0)</f>
        <v>0</v>
      </c>
      <c r="Z3" s="29" t="e">
        <f>Calculation!G3</f>
        <v>#DIV/0!</v>
      </c>
      <c r="AB3" s="127" t="s">
        <v>675</v>
      </c>
      <c r="AC3" s="103">
        <v>0.25</v>
      </c>
      <c r="AD3" s="168">
        <v>0.1</v>
      </c>
      <c r="AE3" s="12">
        <f>COUNTIFS($F3:$F20,Q3,$B$3:$B$20,$T$3)</f>
        <v>0</v>
      </c>
      <c r="AF3" s="103">
        <v>0.25</v>
      </c>
      <c r="AG3" s="208">
        <f>AD3+0.6</f>
        <v>0.7</v>
      </c>
      <c r="AH3" s="12">
        <f>COUNTIFS(I3:I20,Q3,$B$3:$B$20,$T$3)</f>
        <v>0</v>
      </c>
      <c r="AI3" s="105">
        <f t="shared" ref="AI3:AI20" si="7">AC3</f>
        <v>0.25</v>
      </c>
      <c r="AJ3" s="208">
        <f>AG3+0.6</f>
        <v>1.2999999999999998</v>
      </c>
      <c r="AK3" s="12">
        <f>COUNTIFS($L3:$L20,Q3,$B$3:$B$20,$T$3)</f>
        <v>0</v>
      </c>
    </row>
    <row r="4" spans="1:37" x14ac:dyDescent="0.25">
      <c r="A4" t="s">
        <v>99</v>
      </c>
      <c r="B4" s="339" t="str">
        <f>VLOOKUP("Enabling environment",Labels!$A$1:$C$1001,IF(LanguageSelection="FR",3,2),FALSE)</f>
        <v>Enabling environment</v>
      </c>
      <c r="C4" s="99" t="str">
        <f>VLOOKUP("Market information",Labels!$A$1:$C$1000,IF(LanguageSelection="FR",3,2),FALSE)</f>
        <v>Market information</v>
      </c>
      <c r="D4" s="9">
        <f>IFERROR(SUM(D68:D70)/COUNTIF(D68:D70,"&gt;0"),0)</f>
        <v>0</v>
      </c>
      <c r="E4" s="9">
        <f t="shared" si="0"/>
        <v>0</v>
      </c>
      <c r="F4" t="str">
        <f t="shared" si="1"/>
        <v>Not Measured</v>
      </c>
      <c r="G4" s="9">
        <f>IFERROR(SUM(C68:C70)/COUNTIF(C68:C70,"&gt;0"),0)</f>
        <v>0</v>
      </c>
      <c r="H4" s="9">
        <f t="shared" si="2"/>
        <v>0</v>
      </c>
      <c r="I4" t="str">
        <f t="shared" si="3"/>
        <v>Not Measured</v>
      </c>
      <c r="J4" t="e">
        <f>Calculation!G35</f>
        <v>#DIV/0!</v>
      </c>
      <c r="K4" t="e">
        <f t="shared" si="4"/>
        <v>#DIV/0!</v>
      </c>
      <c r="L4" t="e">
        <f t="shared" si="5"/>
        <v>#DIV/0!</v>
      </c>
      <c r="M4" s="88" t="e">
        <f t="shared" si="6"/>
        <v>#DIV/0!</v>
      </c>
      <c r="N4">
        <f t="shared" ref="N4:N20" si="8">N3+0.5</f>
        <v>2.2000000000000002</v>
      </c>
      <c r="P4" s="93">
        <v>2</v>
      </c>
      <c r="Q4" s="65" t="s">
        <v>676</v>
      </c>
      <c r="R4" s="338">
        <v>4</v>
      </c>
      <c r="T4" s="2" t="str">
        <f>VLOOKUP("Demand side",Labels!$A$1:$C$1001,IF(LanguageSelection="FR",3,2),FALSE)</f>
        <v>Demand side</v>
      </c>
      <c r="U4" s="2">
        <v>1.4</v>
      </c>
      <c r="W4" t="str">
        <f>'EAMD Scorecard'!C12</f>
        <v>S2
Sales Volume</v>
      </c>
      <c r="X4">
        <f>IFERROR(AVERAGE(D29:D30), 0)</f>
        <v>0</v>
      </c>
      <c r="Y4">
        <f>IFERROR(AVERAGE(C29:C30), 0)</f>
        <v>0</v>
      </c>
      <c r="Z4" t="e">
        <f>Calculation!G7</f>
        <v>#DIV/0!</v>
      </c>
      <c r="AB4" s="128" t="s">
        <v>676</v>
      </c>
      <c r="AC4" s="106">
        <v>1.4</v>
      </c>
      <c r="AD4" s="169">
        <f>AD3+0.6</f>
        <v>0.7</v>
      </c>
      <c r="AE4" s="12">
        <f>COUNTIFS($F3:$F20,Q4,$B$3:$B$20,$T$3)</f>
        <v>0</v>
      </c>
      <c r="AF4" s="106">
        <v>1.4</v>
      </c>
      <c r="AG4" s="208">
        <f t="shared" ref="AG4:AG20" si="9">AD4+0.6</f>
        <v>1.2999999999999998</v>
      </c>
      <c r="AH4" s="12">
        <f>COUNTIFS(I3:I20,Q4,$B$3:$B$20,$T$3)</f>
        <v>0</v>
      </c>
      <c r="AI4" s="107">
        <f t="shared" si="7"/>
        <v>1.4</v>
      </c>
      <c r="AJ4" s="208">
        <f t="shared" ref="AJ4:AJ20" si="10">AG4+0.6</f>
        <v>1.9</v>
      </c>
      <c r="AK4" s="12">
        <f>COUNTIFS($L3:$L20,Q4,$B$3:$B$20,$T$3)</f>
        <v>0</v>
      </c>
    </row>
    <row r="5" spans="1:37" x14ac:dyDescent="0.25">
      <c r="A5" t="s">
        <v>97</v>
      </c>
      <c r="B5" s="339" t="str">
        <f>VLOOKUP("Enabling environment",Labels!$A$1:$C$1001,IF(LanguageSelection="FR",3,2),FALSE)</f>
        <v>Enabling environment</v>
      </c>
      <c r="C5" s="99" t="str">
        <f>VLOOKUP("Quality standards",Labels!$A$1:$C$1000,IF(LanguageSelection="FR",3,2),FALSE)</f>
        <v>Quality standards</v>
      </c>
      <c r="D5" s="9">
        <f>IFERROR(SUM(D66:D67)/COUNTIF(D66:D67,"&gt;0"),0)</f>
        <v>0</v>
      </c>
      <c r="E5" s="9">
        <f t="shared" si="0"/>
        <v>0</v>
      </c>
      <c r="F5" t="str">
        <f t="shared" si="1"/>
        <v>Not Measured</v>
      </c>
      <c r="G5" s="9">
        <f>IFERROR(SUM(C66:C67)/COUNTIF(C66:C67,"&gt;0"),0)</f>
        <v>0</v>
      </c>
      <c r="H5" s="9">
        <f t="shared" si="2"/>
        <v>0</v>
      </c>
      <c r="I5" t="str">
        <f t="shared" si="3"/>
        <v>Not Measured</v>
      </c>
      <c r="J5" t="e">
        <f>Calculation!G33</f>
        <v>#DIV/0!</v>
      </c>
      <c r="K5" t="e">
        <f t="shared" si="4"/>
        <v>#DIV/0!</v>
      </c>
      <c r="L5" t="e">
        <f t="shared" si="5"/>
        <v>#DIV/0!</v>
      </c>
      <c r="M5" s="88" t="e">
        <f t="shared" si="6"/>
        <v>#DIV/0!</v>
      </c>
      <c r="N5">
        <f t="shared" si="8"/>
        <v>2.7</v>
      </c>
      <c r="P5" s="94">
        <v>3</v>
      </c>
      <c r="Q5" s="66" t="s">
        <v>677</v>
      </c>
      <c r="R5" s="338">
        <v>7.2</v>
      </c>
      <c r="T5" s="2" t="str">
        <f>VLOOKUP("Supply Side",Labels!$A$1:$C$1001,IF(LanguageSelection="FR",3,2),FALSE)</f>
        <v>Supply Side</v>
      </c>
      <c r="U5" s="2">
        <v>1.2</v>
      </c>
      <c r="W5" t="str">
        <f>'EAMD Scorecard'!C14</f>
        <v>S3
Prices, costs and profits</v>
      </c>
      <c r="X5">
        <f>IFERROR(AVERAGE(D31:D34), 0)</f>
        <v>0</v>
      </c>
      <c r="Y5">
        <f>IFERROR(AVERAGE(C31:C34), 0)</f>
        <v>0</v>
      </c>
      <c r="Z5" t="e">
        <f>Calculation!G9</f>
        <v>#DIV/0!</v>
      </c>
      <c r="AB5" s="129" t="s">
        <v>677</v>
      </c>
      <c r="AC5" s="106">
        <v>2.8</v>
      </c>
      <c r="AD5" s="169">
        <f t="shared" ref="AD5:AD20" si="11">AD4+0.6</f>
        <v>1.2999999999999998</v>
      </c>
      <c r="AE5" s="12">
        <f>COUNTIFS($F3:$F20,Q5,$B$3:$B$20,$T$3)</f>
        <v>0</v>
      </c>
      <c r="AF5" s="106">
        <v>2.8</v>
      </c>
      <c r="AG5" s="208">
        <f t="shared" si="9"/>
        <v>1.9</v>
      </c>
      <c r="AH5" s="12">
        <f>COUNTIFS($I3:$I20,Q5,$B$3:$B$20,$T$3)</f>
        <v>0</v>
      </c>
      <c r="AI5" s="107">
        <f t="shared" si="7"/>
        <v>2.8</v>
      </c>
      <c r="AJ5" s="208">
        <f t="shared" si="10"/>
        <v>2.5</v>
      </c>
      <c r="AK5" s="12">
        <f>COUNTIFS($L3:$L20,Q5,$B$3:$B$20,$T$3)</f>
        <v>0</v>
      </c>
    </row>
    <row r="6" spans="1:37" x14ac:dyDescent="0.25">
      <c r="A6" t="s">
        <v>95</v>
      </c>
      <c r="B6" s="339" t="str">
        <f>VLOOKUP("Enabling environment",Labels!$A$1:$C$1001,IF(LanguageSelection="FR",3,2),FALSE)</f>
        <v>Enabling environment</v>
      </c>
      <c r="C6" s="99" t="str">
        <f>VLOOKUP("Access to finance",Labels!$A$1:$C$1000,IF(LanguageSelection="FR",3,2),FALSE)</f>
        <v>Access to finance</v>
      </c>
      <c r="D6" s="9">
        <f>IFERROR(SUM(D63:D65)/COUNTIF(D63:D65,"&gt;0"),0)</f>
        <v>0</v>
      </c>
      <c r="E6" s="9">
        <f t="shared" si="0"/>
        <v>0</v>
      </c>
      <c r="F6" t="str">
        <f t="shared" si="1"/>
        <v>Not Measured</v>
      </c>
      <c r="G6" s="9">
        <f>IFERROR(SUM(C63:C65)/COUNTIF(C63:C65,"&gt;0"),0)</f>
        <v>0</v>
      </c>
      <c r="H6" s="9">
        <f t="shared" si="2"/>
        <v>0</v>
      </c>
      <c r="I6" t="str">
        <f t="shared" si="3"/>
        <v>Not Measured</v>
      </c>
      <c r="J6" t="e">
        <f>Calculation!G30</f>
        <v>#DIV/0!</v>
      </c>
      <c r="K6" t="e">
        <f t="shared" si="4"/>
        <v>#DIV/0!</v>
      </c>
      <c r="L6" t="e">
        <f t="shared" si="5"/>
        <v>#DIV/0!</v>
      </c>
      <c r="M6" s="88" t="e">
        <f t="shared" si="6"/>
        <v>#DIV/0!</v>
      </c>
      <c r="N6">
        <f t="shared" si="8"/>
        <v>3.2</v>
      </c>
      <c r="P6" s="95">
        <v>4</v>
      </c>
      <c r="Q6" s="67" t="s">
        <v>678</v>
      </c>
      <c r="R6" s="338">
        <v>10.4</v>
      </c>
      <c r="W6" t="str">
        <f>'EAMD Scorecard'!C18</f>
        <v>S4
Supply chain development and after-sales service</v>
      </c>
      <c r="X6">
        <f>IFERROR(AVERAGE(D35:D39), 0)</f>
        <v>0</v>
      </c>
      <c r="Y6">
        <f>IFERROR(AVERAGE(C35:C39), 0)</f>
        <v>0</v>
      </c>
      <c r="Z6" t="e">
        <f>Calculation!G10</f>
        <v>#DIV/0!</v>
      </c>
      <c r="AB6" s="130" t="s">
        <v>678</v>
      </c>
      <c r="AC6" s="106">
        <v>4.3</v>
      </c>
      <c r="AD6" s="169">
        <f t="shared" si="11"/>
        <v>1.9</v>
      </c>
      <c r="AE6" s="12">
        <f>COUNTIFS($F3:$F20,Q6,$B$3:$B$20,$T$3)</f>
        <v>0</v>
      </c>
      <c r="AF6" s="106">
        <v>4.3</v>
      </c>
      <c r="AG6" s="208">
        <f t="shared" si="9"/>
        <v>2.5</v>
      </c>
      <c r="AH6" s="12">
        <f>COUNTIFS($I3:$I20,Q6,$B$3:$B$20,$T$3)</f>
        <v>0</v>
      </c>
      <c r="AI6" s="107">
        <f t="shared" si="7"/>
        <v>4.3</v>
      </c>
      <c r="AJ6" s="208">
        <f t="shared" si="10"/>
        <v>3.1</v>
      </c>
      <c r="AK6" s="12">
        <f>COUNTIFS($L3:$L20,Q6,$B$3:$B$20,$T$3)</f>
        <v>0</v>
      </c>
    </row>
    <row r="7" spans="1:37" x14ac:dyDescent="0.25">
      <c r="A7" t="s">
        <v>93</v>
      </c>
      <c r="B7" s="339" t="str">
        <f>VLOOKUP("Enabling environment",Labels!$A$1:$C$1001,IF(LanguageSelection="FR",3,2),FALSE)</f>
        <v>Enabling environment</v>
      </c>
      <c r="C7" s="99" t="str">
        <f>VLOOKUP("Policy",Labels!$A$1:$C$1000,IF(LanguageSelection="FR",3,2),FALSE)</f>
        <v>Policy</v>
      </c>
      <c r="D7" s="9">
        <f>IFERROR(SUM(D59:D62)/COUNTIF(D59:D62,"&gt;0"),0)</f>
        <v>0</v>
      </c>
      <c r="E7" s="9">
        <f t="shared" si="0"/>
        <v>0</v>
      </c>
      <c r="F7" t="str">
        <f t="shared" si="1"/>
        <v>Not Measured</v>
      </c>
      <c r="G7" s="9">
        <f>IFERROR(SUM(C59:C62)/COUNTIF(C59:C62,"&gt;0"),0)</f>
        <v>0</v>
      </c>
      <c r="H7" s="9">
        <f t="shared" si="2"/>
        <v>0</v>
      </c>
      <c r="I7" t="str">
        <f t="shared" si="3"/>
        <v>Not Measured</v>
      </c>
      <c r="J7" t="e">
        <f>Calculation!G27</f>
        <v>#DIV/0!</v>
      </c>
      <c r="K7" t="e">
        <f t="shared" si="4"/>
        <v>#DIV/0!</v>
      </c>
      <c r="L7" t="e">
        <f t="shared" si="5"/>
        <v>#DIV/0!</v>
      </c>
      <c r="M7" s="88" t="e">
        <f t="shared" si="6"/>
        <v>#DIV/0!</v>
      </c>
      <c r="N7">
        <f t="shared" si="8"/>
        <v>3.7</v>
      </c>
      <c r="P7" s="96">
        <v>5</v>
      </c>
      <c r="Q7" s="101" t="s">
        <v>679</v>
      </c>
      <c r="R7" s="338">
        <v>14</v>
      </c>
      <c r="W7" t="str">
        <f>'EAMD Scorecard'!C26</f>
        <v>S5
Warranties</v>
      </c>
      <c r="X7">
        <f>IFERROR(AVERAGE(D43:D43),0)</f>
        <v>0</v>
      </c>
      <c r="Y7">
        <f>IFERROR(AVERAGE(C43:C43),0)</f>
        <v>0</v>
      </c>
      <c r="Z7" t="e">
        <f>Calculation!G14</f>
        <v>#DIV/0!</v>
      </c>
      <c r="AB7" s="131" t="s">
        <v>679</v>
      </c>
      <c r="AC7" s="106">
        <v>5.6</v>
      </c>
      <c r="AD7" s="169">
        <f t="shared" si="11"/>
        <v>2.5</v>
      </c>
      <c r="AE7" s="12">
        <f>COUNTIFS($F3:$F20,Q7,$B$3:$B$20,$T$3)</f>
        <v>0</v>
      </c>
      <c r="AF7" s="106">
        <v>5.6</v>
      </c>
      <c r="AG7" s="208">
        <f t="shared" si="9"/>
        <v>3.1</v>
      </c>
      <c r="AH7" s="12">
        <f>COUNTIFS(I3:I20,Q7,$B$3:$B$20,$T$3)</f>
        <v>0</v>
      </c>
      <c r="AI7" s="107">
        <f t="shared" si="7"/>
        <v>5.6</v>
      </c>
      <c r="AJ7" s="208">
        <f t="shared" si="10"/>
        <v>3.7</v>
      </c>
      <c r="AK7" s="12">
        <f>COUNTIFS($L3:$L20,Q7,$B$3:$B$20,$T$3)</f>
        <v>0</v>
      </c>
    </row>
    <row r="8" spans="1:37" ht="15.75" thickBot="1" x14ac:dyDescent="0.3">
      <c r="A8" t="s">
        <v>757</v>
      </c>
      <c r="B8" s="89" t="str">
        <f>VLOOKUP("Demand side",Labels!$A$1:$C$1001,IF(LanguageSelection="FR",3,2),FALSE)</f>
        <v>Demand side</v>
      </c>
      <c r="C8" s="102" t="str">
        <f>VLOOKUP("Productive Use",Labels!$A$1:$C$1000,IF(LanguageSelection="FR",3,2),FALSE)</f>
        <v>Productive use</v>
      </c>
      <c r="D8" s="342">
        <f>IFERROR(SUM(D74:D75)/COUNTIF(D74:D75,"&gt;0"),0)</f>
        <v>0</v>
      </c>
      <c r="E8" s="342">
        <f t="shared" si="0"/>
        <v>0</v>
      </c>
      <c r="F8" t="str">
        <f t="shared" si="1"/>
        <v>Not Measured</v>
      </c>
      <c r="G8" s="342">
        <f>IFERROR(SUM(C74:C75)/COUNTIF(C74:C75,"&gt;0"),0)</f>
        <v>0</v>
      </c>
      <c r="H8" s="342">
        <f t="shared" si="2"/>
        <v>0</v>
      </c>
      <c r="I8" t="str">
        <f t="shared" si="3"/>
        <v>Not Measured</v>
      </c>
      <c r="J8" t="e">
        <f>Calculation!G25</f>
        <v>#DIV/0!</v>
      </c>
      <c r="K8" t="e">
        <f t="shared" si="4"/>
        <v>#DIV/0!</v>
      </c>
      <c r="L8" t="e">
        <f t="shared" si="5"/>
        <v>#DIV/0!</v>
      </c>
      <c r="M8" s="88" t="e">
        <f t="shared" si="6"/>
        <v>#DIV/0!</v>
      </c>
      <c r="N8">
        <v>4.5</v>
      </c>
      <c r="P8" s="2">
        <v>6</v>
      </c>
      <c r="Q8" s="101" t="s">
        <v>680</v>
      </c>
      <c r="R8" s="338">
        <v>18</v>
      </c>
      <c r="W8" t="str">
        <f>'EAMD Scorecard'!C27</f>
        <v>S6
Entrepreneurial skills</v>
      </c>
      <c r="X8">
        <f>IFERROR(AVERAGE(D44:D49),0)</f>
        <v>0</v>
      </c>
      <c r="Y8">
        <f>IFERROR(AVERAGE(C44:C49),0)</f>
        <v>0</v>
      </c>
      <c r="Z8" s="29" t="e">
        <f>Calculation!G15</f>
        <v>#DIV/0!</v>
      </c>
      <c r="AB8" s="98" t="s">
        <v>680</v>
      </c>
      <c r="AC8" s="108">
        <v>6.5</v>
      </c>
      <c r="AD8" s="169">
        <f t="shared" si="11"/>
        <v>3.1</v>
      </c>
      <c r="AE8" s="12">
        <f>COUNTIFS($F3:$F20,Q8,$B$3:$B$20,$T$3)</f>
        <v>0</v>
      </c>
      <c r="AF8" s="108">
        <v>6.5</v>
      </c>
      <c r="AG8" s="208">
        <f t="shared" si="9"/>
        <v>3.7</v>
      </c>
      <c r="AH8" s="12">
        <f>COUNTIFS(I3:I20,Q8,$B$3:$B$20,$T$3)</f>
        <v>0</v>
      </c>
      <c r="AI8" s="109">
        <f t="shared" si="7"/>
        <v>6.5</v>
      </c>
      <c r="AJ8" s="208">
        <f t="shared" si="10"/>
        <v>4.3</v>
      </c>
      <c r="AK8" s="12">
        <f>COUNTIFS($L3:$L20,Q8,$B$3:$B$20,$T$3)</f>
        <v>0</v>
      </c>
    </row>
    <row r="9" spans="1:37" x14ac:dyDescent="0.25">
      <c r="A9" t="s">
        <v>91</v>
      </c>
      <c r="B9" s="89" t="str">
        <f>VLOOKUP("Demand side",Labels!$A$1:$C$1001,IF(LanguageSelection="FR",3,2),FALSE)</f>
        <v>Demand side</v>
      </c>
      <c r="C9" s="102" t="str">
        <f>VLOOKUP("Consumer awareness",Labels!$A$1:$C$1000,IF(LanguageSelection="FR",3,2),FALSE)</f>
        <v>Consumer awareness</v>
      </c>
      <c r="D9" s="342">
        <f>IFERROR(SUM(D57:D58)/COUNTIF(D57:D58,"&gt;0"),0)</f>
        <v>0</v>
      </c>
      <c r="E9" s="342">
        <f t="shared" si="0"/>
        <v>0</v>
      </c>
      <c r="F9" t="str">
        <f t="shared" si="1"/>
        <v>Not Measured</v>
      </c>
      <c r="G9" s="342">
        <f>IFERROR(SUM(C57:C58)/COUNTIF(C57:C58,"&gt;0"),0)</f>
        <v>0</v>
      </c>
      <c r="H9" s="342">
        <f t="shared" si="2"/>
        <v>0</v>
      </c>
      <c r="I9" t="str">
        <f t="shared" si="3"/>
        <v>Not Measured</v>
      </c>
      <c r="J9" t="e">
        <f>Calculation!G23</f>
        <v>#DIV/0!</v>
      </c>
      <c r="K9" t="e">
        <f t="shared" si="4"/>
        <v>#DIV/0!</v>
      </c>
      <c r="L9" t="e">
        <f t="shared" si="5"/>
        <v>#DIV/0!</v>
      </c>
      <c r="M9" s="88" t="e">
        <f t="shared" si="6"/>
        <v>#DIV/0!</v>
      </c>
      <c r="N9">
        <f t="shared" si="8"/>
        <v>5</v>
      </c>
      <c r="P9" s="8">
        <v>0</v>
      </c>
      <c r="Q9" t="s">
        <v>763</v>
      </c>
      <c r="W9" s="374" t="str">
        <f>'EAMD Scorecard'!C37</f>
        <v>D1
Product and service diversity</v>
      </c>
      <c r="X9" s="374">
        <f>IFERROR(AVERAGE(D50:D50),0)</f>
        <v>0</v>
      </c>
      <c r="Y9" s="374">
        <f>IFERROR(AVERAGE(C50:C50),0)</f>
        <v>0</v>
      </c>
      <c r="Z9" s="374" t="e">
        <f>Calculation!G18</f>
        <v>#DIV/0!</v>
      </c>
      <c r="AB9" s="127" t="s">
        <v>675</v>
      </c>
      <c r="AC9" s="110">
        <f t="shared" ref="AC9:AC14" si="12">AC3</f>
        <v>0.25</v>
      </c>
      <c r="AD9" s="169">
        <f>AD8+1</f>
        <v>4.0999999999999996</v>
      </c>
      <c r="AE9" s="12">
        <f>COUNTIFS($F3:$F20,Q3,$B$3:$B$20,$T$4)</f>
        <v>0</v>
      </c>
      <c r="AF9" s="110">
        <f t="shared" ref="AF9:AF14" si="13">AF3</f>
        <v>0.25</v>
      </c>
      <c r="AG9" s="208">
        <f t="shared" si="9"/>
        <v>4.6999999999999993</v>
      </c>
      <c r="AH9" s="12">
        <f>COUNTIFS($I3:$I20,Q3,$B$3:$B$20,$T$4)</f>
        <v>0</v>
      </c>
      <c r="AI9" s="105">
        <f t="shared" si="7"/>
        <v>0.25</v>
      </c>
      <c r="AJ9" s="208">
        <f t="shared" si="10"/>
        <v>5.2999999999999989</v>
      </c>
      <c r="AK9" s="12">
        <f>COUNTIFS($L3:$L20,Q3,$B$3:$B$20,$T$4)</f>
        <v>0</v>
      </c>
    </row>
    <row r="10" spans="1:37" x14ac:dyDescent="0.25">
      <c r="A10" t="s">
        <v>89</v>
      </c>
      <c r="B10" s="89" t="str">
        <f>VLOOKUP("Demand side",Labels!$A$1:$C$1001,IF(LanguageSelection="FR",3,2),FALSE)</f>
        <v>Demand side</v>
      </c>
      <c r="C10" s="102" t="str">
        <f>VLOOKUP("Replacement + repair",Labels!$A$1:$C$1000,IF(LanguageSelection="FR",3,2),FALSE)</f>
        <v>Replacement + repair</v>
      </c>
      <c r="D10" s="342">
        <f>IFERROR(SUM(D55:D56)/COUNTIF(D55:D56,"&gt;0"),0)</f>
        <v>0</v>
      </c>
      <c r="E10" s="342">
        <f t="shared" ref="E10:E20" si="14">ROUND(D10-0.01,0)</f>
        <v>0</v>
      </c>
      <c r="F10" t="str">
        <f t="shared" si="1"/>
        <v>Not Measured</v>
      </c>
      <c r="G10" s="342">
        <f>IFERROR(SUM(C55:C56)/COUNTIF(C55:C56,"&gt;0"),0)</f>
        <v>0</v>
      </c>
      <c r="H10" s="342">
        <f t="shared" ref="H10:H20" si="15">ROUND(G10-0.01,0)</f>
        <v>0</v>
      </c>
      <c r="I10" t="str">
        <f t="shared" si="3"/>
        <v>Not Measured</v>
      </c>
      <c r="J10" t="e">
        <f>Calculation!G22</f>
        <v>#DIV/0!</v>
      </c>
      <c r="K10" t="e">
        <f t="shared" ref="K10:K20" si="16">ROUND(J10-0.01,0)</f>
        <v>#DIV/0!</v>
      </c>
      <c r="L10" t="e">
        <f t="shared" si="5"/>
        <v>#DIV/0!</v>
      </c>
      <c r="M10" s="88" t="e">
        <f t="shared" si="6"/>
        <v>#DIV/0!</v>
      </c>
      <c r="N10">
        <f t="shared" si="8"/>
        <v>5.5</v>
      </c>
      <c r="W10" s="374" t="str">
        <f>'EAMD Scorecard'!C38</f>
        <v>D2
Market penetration</v>
      </c>
      <c r="X10" s="374">
        <f>IFERROR(AVERAGE(D51:D51),0)</f>
        <v>0</v>
      </c>
      <c r="Y10" s="374">
        <f>IFERROR(AVERAGE(C51:C51),0)</f>
        <v>0</v>
      </c>
      <c r="Z10" s="374" t="e">
        <f>Calculation!G19</f>
        <v>#DIV/0!</v>
      </c>
      <c r="AB10" s="128" t="s">
        <v>676</v>
      </c>
      <c r="AC10" s="12">
        <f t="shared" si="12"/>
        <v>1.4</v>
      </c>
      <c r="AD10" s="169">
        <f t="shared" si="11"/>
        <v>4.6999999999999993</v>
      </c>
      <c r="AE10" s="12">
        <f>COUNTIFS($F3:$F20,Q4,$B$3:$B$20,$T$4)</f>
        <v>0</v>
      </c>
      <c r="AF10" s="12">
        <f t="shared" si="13"/>
        <v>1.4</v>
      </c>
      <c r="AG10" s="208">
        <f t="shared" si="9"/>
        <v>5.2999999999999989</v>
      </c>
      <c r="AH10" s="12">
        <f>COUNTIFS($I3:$I20,Q4,$B$3:$B$20,$T$4)</f>
        <v>0</v>
      </c>
      <c r="AI10" s="107">
        <f t="shared" si="7"/>
        <v>1.4</v>
      </c>
      <c r="AJ10" s="208">
        <f t="shared" si="10"/>
        <v>5.8999999999999986</v>
      </c>
      <c r="AK10" s="12">
        <f>COUNTIFS($L3:$L20,Q4,$B$3:$B$20,$T$4)</f>
        <v>0</v>
      </c>
    </row>
    <row r="11" spans="1:37" x14ac:dyDescent="0.25">
      <c r="A11" t="s">
        <v>87</v>
      </c>
      <c r="B11" s="89" t="str">
        <f>VLOOKUP("Demand side",Labels!$A$1:$C$1001,IF(LanguageSelection="FR",3,2),FALSE)</f>
        <v>Demand side</v>
      </c>
      <c r="C11" s="102" t="str">
        <f>VLOOKUP("Systems in use",Labels!$A$1:$C$1000,IF(LanguageSelection="FR",3,2),FALSE)</f>
        <v>Systems in use</v>
      </c>
      <c r="D11" s="342">
        <f>IFERROR(SUM(D53:D54)/COUNTIF(D53:D54,"&gt;0"),0)</f>
        <v>0</v>
      </c>
      <c r="E11" s="342">
        <f t="shared" si="14"/>
        <v>0</v>
      </c>
      <c r="F11" t="str">
        <f t="shared" si="1"/>
        <v>Not Measured</v>
      </c>
      <c r="G11" s="342">
        <f>IFERROR(SUM(C53:C54)/COUNTIF(C53:C54,"&gt;0"),0)</f>
        <v>0</v>
      </c>
      <c r="H11" s="342">
        <f t="shared" si="15"/>
        <v>0</v>
      </c>
      <c r="I11" t="str">
        <f t="shared" si="3"/>
        <v>Not Measured</v>
      </c>
      <c r="J11" t="e">
        <f>Calculation!G21</f>
        <v>#DIV/0!</v>
      </c>
      <c r="K11" t="e">
        <f t="shared" si="16"/>
        <v>#DIV/0!</v>
      </c>
      <c r="L11" t="e">
        <f t="shared" si="5"/>
        <v>#DIV/0!</v>
      </c>
      <c r="M11" s="88" t="e">
        <f t="shared" si="6"/>
        <v>#DIV/0!</v>
      </c>
      <c r="N11">
        <f t="shared" si="8"/>
        <v>6</v>
      </c>
      <c r="W11" s="374" t="str">
        <f>'EAMD Scorecard'!C39</f>
        <v>D3
Willingness to pay</v>
      </c>
      <c r="X11" s="374">
        <f>IFERROR(AVERAGE(D52:D52),0)</f>
        <v>0</v>
      </c>
      <c r="Y11" s="374">
        <f>IFERROR(AVERAGE(C52:C52),0)</f>
        <v>0</v>
      </c>
      <c r="Z11" s="374" t="e">
        <f>Calculation!G20</f>
        <v>#DIV/0!</v>
      </c>
      <c r="AB11" s="129" t="s">
        <v>677</v>
      </c>
      <c r="AC11" s="12">
        <f t="shared" si="12"/>
        <v>2.8</v>
      </c>
      <c r="AD11" s="169">
        <f t="shared" si="11"/>
        <v>5.2999999999999989</v>
      </c>
      <c r="AE11" s="12">
        <f>COUNTIFS($F3:$F20,Q5,$B$3:$B$20,$T$4)</f>
        <v>0</v>
      </c>
      <c r="AF11" s="12">
        <f t="shared" si="13"/>
        <v>2.8</v>
      </c>
      <c r="AG11" s="208">
        <f t="shared" si="9"/>
        <v>5.8999999999999986</v>
      </c>
      <c r="AH11" s="12">
        <f>COUNTIFS($I3:$I20,Q5,$B$3:$B$20,$T$4)</f>
        <v>0</v>
      </c>
      <c r="AI11" s="107">
        <f t="shared" si="7"/>
        <v>2.8</v>
      </c>
      <c r="AJ11" s="208">
        <f t="shared" si="10"/>
        <v>6.4999999999999982</v>
      </c>
      <c r="AK11" s="12">
        <f>COUNTIFS($L3:$L20,Q5,$B$3:$B$20,$T$4)</f>
        <v>0</v>
      </c>
    </row>
    <row r="12" spans="1:37" x14ac:dyDescent="0.25">
      <c r="A12" t="s">
        <v>85</v>
      </c>
      <c r="B12" s="89" t="str">
        <f>VLOOKUP("Demand side",Labels!$A$1:$C$1001,IF(LanguageSelection="FR",3,2),FALSE)</f>
        <v>Demand side</v>
      </c>
      <c r="C12" s="102" t="str">
        <f>VLOOKUP("Willingness to pay",Labels!$A$1:$C$1000,IF(LanguageSelection="FR",3,2),FALSE)</f>
        <v>Willingness to pay</v>
      </c>
      <c r="D12" s="342">
        <f>IFERROR(SUM(D52:D52)/COUNTIF(D52:D52,"&gt;0"),0)</f>
        <v>0</v>
      </c>
      <c r="E12" s="342">
        <f t="shared" si="14"/>
        <v>0</v>
      </c>
      <c r="F12" t="str">
        <f t="shared" si="1"/>
        <v>Not Measured</v>
      </c>
      <c r="G12" s="342">
        <f>IFERROR(SUM(C52:C52)/COUNTIF(C52:C52,"&gt;0"),0)</f>
        <v>0</v>
      </c>
      <c r="H12" s="342">
        <f t="shared" si="15"/>
        <v>0</v>
      </c>
      <c r="I12" t="str">
        <f t="shared" si="3"/>
        <v>Not Measured</v>
      </c>
      <c r="J12" t="e">
        <f>Calculation!G20</f>
        <v>#DIV/0!</v>
      </c>
      <c r="K12" t="e">
        <f t="shared" si="16"/>
        <v>#DIV/0!</v>
      </c>
      <c r="L12" t="e">
        <f t="shared" si="5"/>
        <v>#DIV/0!</v>
      </c>
      <c r="M12" s="88" t="e">
        <f t="shared" si="6"/>
        <v>#DIV/0!</v>
      </c>
      <c r="N12">
        <f t="shared" si="8"/>
        <v>6.5</v>
      </c>
      <c r="W12" s="374" t="str">
        <f>'EAMD Scorecard'!C40</f>
        <v>D4
Systems in use</v>
      </c>
      <c r="X12" s="374">
        <f>IFERROR(AVERAGE(D53:D54),0)</f>
        <v>0</v>
      </c>
      <c r="Y12" s="374">
        <f>IFERROR(AVERAGE(C53:C54),0)</f>
        <v>0</v>
      </c>
      <c r="Z12" s="374" t="e">
        <f>Calculation!G21</f>
        <v>#DIV/0!</v>
      </c>
      <c r="AB12" s="130" t="s">
        <v>678</v>
      </c>
      <c r="AC12" s="12">
        <f t="shared" si="12"/>
        <v>4.3</v>
      </c>
      <c r="AD12" s="169">
        <f t="shared" si="11"/>
        <v>5.8999999999999986</v>
      </c>
      <c r="AE12" s="12">
        <f>COUNTIFS($F3:$F20,Q6,$B$3:$B$20,$T$4)</f>
        <v>0</v>
      </c>
      <c r="AF12" s="12">
        <f t="shared" si="13"/>
        <v>4.3</v>
      </c>
      <c r="AG12" s="208">
        <f t="shared" si="9"/>
        <v>6.4999999999999982</v>
      </c>
      <c r="AH12" s="12">
        <f>COUNTIFS($I3:$I20,Q6,$B$3:$B$20,$T$4)</f>
        <v>0</v>
      </c>
      <c r="AI12" s="107">
        <f t="shared" si="7"/>
        <v>4.3</v>
      </c>
      <c r="AJ12" s="208">
        <f t="shared" si="10"/>
        <v>7.0999999999999979</v>
      </c>
      <c r="AK12" s="12">
        <f>COUNTIFS($L3:$L20,Q6,$B$3:$B$20,$T$4)</f>
        <v>0</v>
      </c>
    </row>
    <row r="13" spans="1:37" x14ac:dyDescent="0.25">
      <c r="A13" t="s">
        <v>83</v>
      </c>
      <c r="B13" s="89" t="str">
        <f>VLOOKUP("Demand side",Labels!$A$1:$C$1001,IF(LanguageSelection="FR",3,2),FALSE)</f>
        <v>Demand side</v>
      </c>
      <c r="C13" s="102" t="str">
        <f>VLOOKUP("Market penetration",Labels!$A$1:$C$1000,IF(LanguageSelection="FR",3,2),FALSE)</f>
        <v>Market penetration</v>
      </c>
      <c r="D13" s="342">
        <f>IFERROR(SUM(D51:D51)/COUNTIF(D51:D51,"&gt;0"),0)</f>
        <v>0</v>
      </c>
      <c r="E13" s="342">
        <f t="shared" si="14"/>
        <v>0</v>
      </c>
      <c r="F13" t="str">
        <f t="shared" si="1"/>
        <v>Not Measured</v>
      </c>
      <c r="G13" s="342">
        <f>IFERROR(SUM(C51:C51)/COUNTIF(C51:C51,"&gt;0"),0)</f>
        <v>0</v>
      </c>
      <c r="H13" s="342">
        <f t="shared" si="15"/>
        <v>0</v>
      </c>
      <c r="I13" t="str">
        <f t="shared" si="3"/>
        <v>Not Measured</v>
      </c>
      <c r="J13" t="e">
        <f>Calculation!G19</f>
        <v>#DIV/0!</v>
      </c>
      <c r="K13" t="e">
        <f t="shared" si="16"/>
        <v>#DIV/0!</v>
      </c>
      <c r="L13" t="e">
        <f t="shared" si="5"/>
        <v>#DIV/0!</v>
      </c>
      <c r="M13" s="88" t="e">
        <f t="shared" si="6"/>
        <v>#DIV/0!</v>
      </c>
      <c r="N13">
        <f t="shared" si="8"/>
        <v>7</v>
      </c>
      <c r="W13" s="374" t="str">
        <f>'EAMD Scorecard'!C42</f>
        <v>D5
Replacement and repair</v>
      </c>
      <c r="X13" s="374">
        <f>IFERROR(AVERAGE(D55:D56),0)</f>
        <v>0</v>
      </c>
      <c r="Y13" s="374">
        <f>IFERROR(AVERAGE(C55:C56),0)</f>
        <v>0</v>
      </c>
      <c r="Z13" s="374" t="e">
        <f>Calculation!G22</f>
        <v>#DIV/0!</v>
      </c>
      <c r="AB13" s="131" t="s">
        <v>679</v>
      </c>
      <c r="AC13" s="12">
        <f t="shared" si="12"/>
        <v>5.6</v>
      </c>
      <c r="AD13" s="169">
        <f t="shared" si="11"/>
        <v>6.4999999999999982</v>
      </c>
      <c r="AE13" s="12">
        <f>COUNTIFS($F3:$F20,Q7,$B$3:$B$20,$T$4)</f>
        <v>0</v>
      </c>
      <c r="AF13" s="12">
        <f t="shared" si="13"/>
        <v>5.6</v>
      </c>
      <c r="AG13" s="208">
        <f t="shared" si="9"/>
        <v>7.0999999999999979</v>
      </c>
      <c r="AH13" s="12">
        <f>COUNTIFS($I3:$I20,Q7,$B$3:$B$20,$T$4)</f>
        <v>0</v>
      </c>
      <c r="AI13" s="107">
        <f t="shared" si="7"/>
        <v>5.6</v>
      </c>
      <c r="AJ13" s="208">
        <f t="shared" si="10"/>
        <v>7.6999999999999975</v>
      </c>
      <c r="AK13" s="12">
        <f>COUNTIFS($L3:$L20,Q7,$B$3:$B$20,$T$4)</f>
        <v>0</v>
      </c>
    </row>
    <row r="14" spans="1:37" ht="15.75" thickBot="1" x14ac:dyDescent="0.3">
      <c r="A14" t="s">
        <v>81</v>
      </c>
      <c r="B14" s="89" t="str">
        <f>VLOOKUP("Demand side",Labels!$A$1:$C$1001,IF(LanguageSelection="FR",3,2),FALSE)</f>
        <v>Demand side</v>
      </c>
      <c r="C14" s="102" t="str">
        <f>VLOOKUP("Product diversity",Labels!$A$1:$C$1000,IF(LanguageSelection="FR",3,2),FALSE)</f>
        <v>Product diversity</v>
      </c>
      <c r="D14" s="342">
        <f>IFERROR(SUM(D50:D50)/COUNTIF(D50:D50,"&gt;0"),0)</f>
        <v>0</v>
      </c>
      <c r="E14" s="342">
        <f t="shared" si="14"/>
        <v>0</v>
      </c>
      <c r="F14" t="str">
        <f t="shared" si="1"/>
        <v>Not Measured</v>
      </c>
      <c r="G14" s="342">
        <f>IFERROR(SUM(C50:C50)/COUNTIF(C50:C50,"&gt;0"),0)</f>
        <v>0</v>
      </c>
      <c r="H14" s="342">
        <f t="shared" si="15"/>
        <v>0</v>
      </c>
      <c r="I14" t="str">
        <f t="shared" si="3"/>
        <v>Not Measured</v>
      </c>
      <c r="J14" t="e">
        <f>Calculation!G18</f>
        <v>#DIV/0!</v>
      </c>
      <c r="K14" t="e">
        <f t="shared" si="16"/>
        <v>#DIV/0!</v>
      </c>
      <c r="L14" t="e">
        <f t="shared" si="5"/>
        <v>#DIV/0!</v>
      </c>
      <c r="M14" s="88" t="e">
        <f t="shared" si="6"/>
        <v>#DIV/0!</v>
      </c>
      <c r="N14">
        <f t="shared" si="8"/>
        <v>7.5</v>
      </c>
      <c r="W14" s="374" t="str">
        <f>'EAMD Scorecard'!C44</f>
        <v>D6
Consumer awareness and perception</v>
      </c>
      <c r="X14" s="374">
        <f>IFERROR(AVERAGE(D57:D58),0)</f>
        <v>0</v>
      </c>
      <c r="Y14" s="374">
        <f>IFERROR(AVERAGE(C57:C58),0)</f>
        <v>0</v>
      </c>
      <c r="Z14" s="374" t="e">
        <f>Calculation!G23</f>
        <v>#DIV/0!</v>
      </c>
      <c r="AB14" s="98" t="s">
        <v>680</v>
      </c>
      <c r="AC14" s="104">
        <f t="shared" si="12"/>
        <v>6.5</v>
      </c>
      <c r="AD14" s="169">
        <f t="shared" si="11"/>
        <v>7.0999999999999979</v>
      </c>
      <c r="AE14" s="12">
        <f>COUNTIFS($F3:$F20,Q8,$B$3:$B$20,$T$4)</f>
        <v>0</v>
      </c>
      <c r="AF14" s="104">
        <f t="shared" si="13"/>
        <v>6.5</v>
      </c>
      <c r="AG14" s="208">
        <f t="shared" si="9"/>
        <v>7.6999999999999975</v>
      </c>
      <c r="AH14" s="12">
        <f>COUNTIFS($I3:$I20,Q8,$B$3:$B$20,$T$4)</f>
        <v>0</v>
      </c>
      <c r="AI14" s="109">
        <f t="shared" si="7"/>
        <v>6.5</v>
      </c>
      <c r="AJ14" s="208">
        <f t="shared" si="10"/>
        <v>8.2999999999999972</v>
      </c>
      <c r="AK14" s="12">
        <f>COUNTIFS($L3:$L20,Q8,$B$3:$B$20,$T$4)</f>
        <v>0</v>
      </c>
    </row>
    <row r="15" spans="1:37" x14ac:dyDescent="0.25">
      <c r="A15" t="s">
        <v>79</v>
      </c>
      <c r="B15" s="338" t="str">
        <f>VLOOKUP("Supply Side",Labels!$A$1:$C$1001,IF(LanguageSelection="FR",3,2),FALSE)</f>
        <v>Supply Side</v>
      </c>
      <c r="C15" s="99" t="str">
        <f>VLOOKUP("Entrepreneurial skills",Labels!$A$1:$C$1000,IF(LanguageSelection="FR",3,2),FALSE)</f>
        <v>Entrepreneurial skills</v>
      </c>
      <c r="D15" s="9">
        <f>IFERROR(SUM(D44:D49)/COUNTIF(D44:D49,"&gt;0"),0)</f>
        <v>0</v>
      </c>
      <c r="E15" s="9">
        <f t="shared" si="14"/>
        <v>0</v>
      </c>
      <c r="F15" t="str">
        <f t="shared" si="1"/>
        <v>Not Measured</v>
      </c>
      <c r="G15" s="9">
        <f>IFERROR(SUM(C44:C49)/COUNTIF(C44:C49,"&gt;0"),0)</f>
        <v>0</v>
      </c>
      <c r="H15" s="9">
        <f t="shared" si="15"/>
        <v>0</v>
      </c>
      <c r="I15" t="str">
        <f t="shared" si="3"/>
        <v>Not Measured</v>
      </c>
      <c r="J15" t="e">
        <f>Calculation!G15</f>
        <v>#DIV/0!</v>
      </c>
      <c r="K15" t="e">
        <f t="shared" si="16"/>
        <v>#DIV/0!</v>
      </c>
      <c r="L15" t="e">
        <f t="shared" si="5"/>
        <v>#DIV/0!</v>
      </c>
      <c r="M15" s="88" t="e">
        <f t="shared" si="6"/>
        <v>#DIV/0!</v>
      </c>
      <c r="N15">
        <v>8.3000000000000007</v>
      </c>
      <c r="W15" s="374" t="str">
        <f>'EAMD Scorecard'!C64</f>
        <v>D7
Productive use</v>
      </c>
      <c r="X15" s="374">
        <f>IFERROR(AVERAGE(D74:D75),0)</f>
        <v>0</v>
      </c>
      <c r="Y15" s="374">
        <f>IFERROR(AVERAGE(C74:C75),0)</f>
        <v>0</v>
      </c>
      <c r="Z15" s="374" t="e">
        <f>Calculation!G25</f>
        <v>#DIV/0!</v>
      </c>
      <c r="AB15" s="127" t="s">
        <v>675</v>
      </c>
      <c r="AC15" s="110">
        <f t="shared" ref="AC15:AC20" si="17">AC3</f>
        <v>0.25</v>
      </c>
      <c r="AD15" s="169">
        <f>AD14+1</f>
        <v>8.0999999999999979</v>
      </c>
      <c r="AE15" s="12">
        <f>COUNTIFS($F3:$F20,Q3,$B$3:$B$20,$T$5)</f>
        <v>0</v>
      </c>
      <c r="AF15" s="110">
        <f t="shared" ref="AF15:AF20" si="18">AF3</f>
        <v>0.25</v>
      </c>
      <c r="AG15" s="208">
        <f t="shared" si="9"/>
        <v>8.6999999999999975</v>
      </c>
      <c r="AH15" s="12">
        <f>COUNTIFS($I3:$I20,Q3,$B$3:$B$20,$T$5)</f>
        <v>0</v>
      </c>
      <c r="AI15" s="105">
        <f t="shared" si="7"/>
        <v>0.25</v>
      </c>
      <c r="AJ15" s="208">
        <f t="shared" si="10"/>
        <v>9.2999999999999972</v>
      </c>
      <c r="AK15" s="12">
        <f>COUNTIFS($L3:$L20,Q3,$B$3:$B$20,$T$5)</f>
        <v>0</v>
      </c>
    </row>
    <row r="16" spans="1:37" x14ac:dyDescent="0.25">
      <c r="A16" t="s">
        <v>74</v>
      </c>
      <c r="B16" s="338" t="str">
        <f>VLOOKUP("Supply Side",Labels!$A$1:$C$1001,IF(LanguageSelection="FR",3,2),FALSE)</f>
        <v>Supply Side</v>
      </c>
      <c r="C16" s="99" t="str">
        <f>VLOOKUP("Warranties",Labels!$A$1:$C$1000,IF(LanguageSelection="FR",3,2),FALSE)</f>
        <v>Warranties</v>
      </c>
      <c r="D16" s="9">
        <f>IFERROR(SUM(D43:D43)/COUNTIF(D43:D43,"&gt;0"),0)</f>
        <v>0</v>
      </c>
      <c r="E16" s="9">
        <f t="shared" si="14"/>
        <v>0</v>
      </c>
      <c r="F16" t="str">
        <f t="shared" si="1"/>
        <v>Not Measured</v>
      </c>
      <c r="G16" s="9">
        <f>IFERROR(SUM(C43:C43)/COUNTIF(C43:C43,"&gt;0"),0)</f>
        <v>0</v>
      </c>
      <c r="H16" s="9">
        <f t="shared" si="15"/>
        <v>0</v>
      </c>
      <c r="I16" t="str">
        <f t="shared" si="3"/>
        <v>Not Measured</v>
      </c>
      <c r="J16" t="e">
        <f>Calculation!G14</f>
        <v>#DIV/0!</v>
      </c>
      <c r="K16" t="e">
        <f t="shared" si="16"/>
        <v>#DIV/0!</v>
      </c>
      <c r="L16" t="e">
        <f t="shared" si="5"/>
        <v>#DIV/0!</v>
      </c>
      <c r="M16" s="88" t="e">
        <f t="shared" si="6"/>
        <v>#DIV/0!</v>
      </c>
      <c r="N16">
        <f t="shared" si="8"/>
        <v>8.8000000000000007</v>
      </c>
      <c r="W16" t="str">
        <f>'EAMD Scorecard'!C48</f>
        <v>E1
Policy</v>
      </c>
      <c r="X16">
        <f>IFERROR(AVERAGE(D59:D62),0)</f>
        <v>0</v>
      </c>
      <c r="Y16">
        <f>IFERROR(AVERAGE(C59:C62),0)</f>
        <v>0</v>
      </c>
      <c r="Z16" s="29" t="e">
        <f>Calculation!G27</f>
        <v>#DIV/0!</v>
      </c>
      <c r="AB16" s="128" t="s">
        <v>676</v>
      </c>
      <c r="AC16" s="12">
        <f t="shared" si="17"/>
        <v>1.4</v>
      </c>
      <c r="AD16" s="169">
        <f t="shared" si="11"/>
        <v>8.6999999999999975</v>
      </c>
      <c r="AE16" s="12">
        <f>COUNTIFS($F3:$F20,Q4,$B$3:$B$20,$T$5)</f>
        <v>0</v>
      </c>
      <c r="AF16" s="12">
        <f t="shared" si="18"/>
        <v>1.4</v>
      </c>
      <c r="AG16" s="208">
        <f t="shared" si="9"/>
        <v>9.2999999999999972</v>
      </c>
      <c r="AH16" s="12">
        <f>COUNTIFS($I3:$I20,Q4,$B$3:$B$20,$T$5)</f>
        <v>0</v>
      </c>
      <c r="AI16" s="107">
        <f t="shared" si="7"/>
        <v>1.4</v>
      </c>
      <c r="AJ16" s="208">
        <f t="shared" si="10"/>
        <v>9.8999999999999968</v>
      </c>
      <c r="AK16" s="12">
        <f>COUNTIFS($L3:$L20,Q4,$B$3:$B$20,$T$5)</f>
        <v>0</v>
      </c>
    </row>
    <row r="17" spans="1:37" x14ac:dyDescent="0.25">
      <c r="A17" t="s">
        <v>72</v>
      </c>
      <c r="B17" s="338" t="str">
        <f>VLOOKUP("Supply Side",Labels!$A$1:$C$1001,IF(LanguageSelection="FR",3,2),FALSE)</f>
        <v>Supply Side</v>
      </c>
      <c r="C17" s="99" t="str">
        <f>VLOOKUP("Supply chain",Labels!$A$1:$C$1000,IF(LanguageSelection="FR",3,2),FALSE)</f>
        <v>Supply chain</v>
      </c>
      <c r="D17" s="9">
        <f>IFERROR(SUM(D35:D39)/COUNTIF(D35:D39,"&gt;0"),0)</f>
        <v>0</v>
      </c>
      <c r="E17" s="9">
        <f t="shared" si="14"/>
        <v>0</v>
      </c>
      <c r="F17" t="str">
        <f t="shared" si="1"/>
        <v>Not Measured</v>
      </c>
      <c r="G17" s="9">
        <f>IFERROR(SUM(C35:C39)/COUNTIF(C35:C39,"&gt;0"),0)</f>
        <v>0</v>
      </c>
      <c r="H17" s="9">
        <f t="shared" si="15"/>
        <v>0</v>
      </c>
      <c r="I17" t="str">
        <f t="shared" si="3"/>
        <v>Not Measured</v>
      </c>
      <c r="J17" t="e">
        <f>Calculation!G10</f>
        <v>#DIV/0!</v>
      </c>
      <c r="K17" t="e">
        <f t="shared" si="16"/>
        <v>#DIV/0!</v>
      </c>
      <c r="L17" t="e">
        <f t="shared" si="5"/>
        <v>#DIV/0!</v>
      </c>
      <c r="M17" s="88" t="e">
        <f t="shared" si="6"/>
        <v>#DIV/0!</v>
      </c>
      <c r="N17">
        <f t="shared" si="8"/>
        <v>9.3000000000000007</v>
      </c>
      <c r="W17" t="str">
        <f>'EAMD Scorecard'!C52</f>
        <v>E2
Access to finance</v>
      </c>
      <c r="X17">
        <f>IFERROR(AVERAGE(D63:D65),0)</f>
        <v>0</v>
      </c>
      <c r="Y17">
        <f>IFERROR(AVERAGE(C63:C65),0)</f>
        <v>0</v>
      </c>
      <c r="Z17" t="e">
        <f>Calculation!G30</f>
        <v>#DIV/0!</v>
      </c>
      <c r="AB17" s="129" t="s">
        <v>677</v>
      </c>
      <c r="AC17" s="12">
        <f t="shared" si="17"/>
        <v>2.8</v>
      </c>
      <c r="AD17" s="169">
        <f t="shared" si="11"/>
        <v>9.2999999999999972</v>
      </c>
      <c r="AE17" s="12">
        <f>COUNTIFS($F3:$F20,Q5,$B$3:$B$20,$T$5)</f>
        <v>0</v>
      </c>
      <c r="AF17" s="12">
        <f t="shared" si="18"/>
        <v>2.8</v>
      </c>
      <c r="AG17" s="208">
        <f t="shared" si="9"/>
        <v>9.8999999999999968</v>
      </c>
      <c r="AH17" s="12">
        <f>COUNTIFS($I3:$I20,Q5,$B$3:$B$20,$T$5)</f>
        <v>0</v>
      </c>
      <c r="AI17" s="107">
        <f t="shared" si="7"/>
        <v>2.8</v>
      </c>
      <c r="AJ17" s="208">
        <f t="shared" si="10"/>
        <v>10.499999999999996</v>
      </c>
      <c r="AK17" s="12">
        <f>COUNTIFS($L3:$L20,Q5,$B$3:$B$20,$T$5)</f>
        <v>0</v>
      </c>
    </row>
    <row r="18" spans="1:37" x14ac:dyDescent="0.25">
      <c r="A18" t="s">
        <v>70</v>
      </c>
      <c r="B18" s="338" t="str">
        <f>VLOOKUP("Supply Side",Labels!$A$1:$C$1001,IF(LanguageSelection="FR",3,2),FALSE)</f>
        <v>Supply Side</v>
      </c>
      <c r="C18" s="99" t="str">
        <f>VLOOKUP("Prices, costs, profits",Labels!$A$1:$C$1000,IF(LanguageSelection="FR",3,2),FALSE)</f>
        <v>Prices, costs, profits</v>
      </c>
      <c r="D18" s="9">
        <f>IFERROR(SUM(D31:D34)/COUNTIF(D31:D34,"&gt;0"),0)</f>
        <v>0</v>
      </c>
      <c r="E18" s="9">
        <f t="shared" si="14"/>
        <v>0</v>
      </c>
      <c r="F18" t="str">
        <f t="shared" si="1"/>
        <v>Not Measured</v>
      </c>
      <c r="G18" s="9">
        <f>IFERROR(SUM(C31:C34)/COUNTIF(C31:C34,"&gt;0"),0)</f>
        <v>0</v>
      </c>
      <c r="H18" s="9">
        <f t="shared" si="15"/>
        <v>0</v>
      </c>
      <c r="I18" t="str">
        <f t="shared" si="3"/>
        <v>Not Measured</v>
      </c>
      <c r="J18" t="e">
        <f>Calculation!G9</f>
        <v>#DIV/0!</v>
      </c>
      <c r="K18" t="e">
        <f t="shared" si="16"/>
        <v>#DIV/0!</v>
      </c>
      <c r="L18" t="e">
        <f t="shared" si="5"/>
        <v>#DIV/0!</v>
      </c>
      <c r="M18" s="88" t="e">
        <f t="shared" si="6"/>
        <v>#DIV/0!</v>
      </c>
      <c r="N18">
        <f t="shared" si="8"/>
        <v>9.8000000000000007</v>
      </c>
      <c r="W18" t="str">
        <f>'EAMD Scorecard'!C55</f>
        <v>E3
Quality regulations, norms and standards</v>
      </c>
      <c r="X18">
        <f>IFERROR(AVERAGE(D66:D67),0)</f>
        <v>0</v>
      </c>
      <c r="Y18">
        <f>IFERROR(AVERAGE(C66:C67),0)</f>
        <v>0</v>
      </c>
      <c r="Z18" t="e">
        <f>Calculation!G33</f>
        <v>#DIV/0!</v>
      </c>
      <c r="AB18" s="130" t="s">
        <v>678</v>
      </c>
      <c r="AC18" s="12">
        <f t="shared" si="17"/>
        <v>4.3</v>
      </c>
      <c r="AD18" s="169">
        <f t="shared" si="11"/>
        <v>9.8999999999999968</v>
      </c>
      <c r="AE18" s="12">
        <f>COUNTIFS($F3:$F20,Q6,$B$3:$B$20,$T$5)</f>
        <v>0</v>
      </c>
      <c r="AF18" s="12">
        <f t="shared" si="18"/>
        <v>4.3</v>
      </c>
      <c r="AG18" s="208">
        <f t="shared" si="9"/>
        <v>10.499999999999996</v>
      </c>
      <c r="AH18" s="12">
        <f>COUNTIFS($I3:$I20,Q6,$B$3:$B$20,$T$5)</f>
        <v>0</v>
      </c>
      <c r="AI18" s="107">
        <f t="shared" si="7"/>
        <v>4.3</v>
      </c>
      <c r="AJ18" s="208">
        <f t="shared" si="10"/>
        <v>11.099999999999996</v>
      </c>
      <c r="AK18" s="12">
        <f>COUNTIFS($L3:$L20,Q6,$B$3:$B$20,$T$5)</f>
        <v>0</v>
      </c>
    </row>
    <row r="19" spans="1:37" x14ac:dyDescent="0.25">
      <c r="A19" t="s">
        <v>68</v>
      </c>
      <c r="B19" s="338" t="str">
        <f>VLOOKUP("Supply Side",Labels!$A$1:$C$1001,IF(LanguageSelection="FR",3,2),FALSE)</f>
        <v>Supply Side</v>
      </c>
      <c r="C19" s="99" t="str">
        <f>VLOOKUP("Sales Volume",Labels!$A$1:$C$1000,IF(LanguageSelection="FR",3,2),FALSE)</f>
        <v>Sales Volume</v>
      </c>
      <c r="D19" s="9">
        <f>IFERROR(SUM(D29:D30)/COUNTIF(D29:D30,"&gt;0"),0)</f>
        <v>0</v>
      </c>
      <c r="E19" s="9">
        <f t="shared" si="14"/>
        <v>0</v>
      </c>
      <c r="F19" t="str">
        <f t="shared" si="1"/>
        <v>Not Measured</v>
      </c>
      <c r="G19" s="9">
        <f>IFERROR(SUM(C29:C30)/COUNTIF(C29:C30,"&gt;0"),0)</f>
        <v>0</v>
      </c>
      <c r="H19" s="9">
        <f t="shared" si="15"/>
        <v>0</v>
      </c>
      <c r="I19" t="str">
        <f t="shared" si="3"/>
        <v>Not Measured</v>
      </c>
      <c r="J19" t="e">
        <f>Calculation!G7</f>
        <v>#DIV/0!</v>
      </c>
      <c r="K19" t="e">
        <f t="shared" si="16"/>
        <v>#DIV/0!</v>
      </c>
      <c r="L19" t="e">
        <f t="shared" si="5"/>
        <v>#DIV/0!</v>
      </c>
      <c r="M19" s="88" t="e">
        <f t="shared" si="6"/>
        <v>#DIV/0!</v>
      </c>
      <c r="N19">
        <f t="shared" si="8"/>
        <v>10.3</v>
      </c>
      <c r="W19" t="str">
        <f>'EAMD Scorecard'!C57</f>
        <v>E4
Market information</v>
      </c>
      <c r="X19">
        <f>IFERROR(AVERAGE(D68:D70),0)</f>
        <v>0</v>
      </c>
      <c r="Y19" s="29">
        <f>IFERROR(AVERAGE(C68:C70),0)</f>
        <v>0</v>
      </c>
      <c r="Z19" t="e">
        <f>Calculation!G35</f>
        <v>#DIV/0!</v>
      </c>
      <c r="AB19" s="131" t="s">
        <v>679</v>
      </c>
      <c r="AC19" s="12">
        <f t="shared" si="17"/>
        <v>5.6</v>
      </c>
      <c r="AD19" s="169">
        <f t="shared" si="11"/>
        <v>10.499999999999996</v>
      </c>
      <c r="AE19" s="12">
        <f>COUNTIFS($F3:$F20,Q7,$B$3:$B$20,$T$5)</f>
        <v>0</v>
      </c>
      <c r="AF19" s="12">
        <f t="shared" si="18"/>
        <v>5.6</v>
      </c>
      <c r="AG19" s="208">
        <f t="shared" si="9"/>
        <v>11.099999999999996</v>
      </c>
      <c r="AH19" s="12">
        <f>COUNTIFS($I3:$I20,Q7,$B$3:$B$20,$T$5)</f>
        <v>0</v>
      </c>
      <c r="AI19" s="107">
        <f t="shared" si="7"/>
        <v>5.6</v>
      </c>
      <c r="AJ19" s="208">
        <f t="shared" si="10"/>
        <v>11.699999999999996</v>
      </c>
      <c r="AK19" s="12">
        <f>COUNTIFS($L3:$L20,Q7,$B$3:$B$20,$T$5)</f>
        <v>0</v>
      </c>
    </row>
    <row r="20" spans="1:37" ht="15.75" thickBot="1" x14ac:dyDescent="0.3">
      <c r="A20" t="s">
        <v>630</v>
      </c>
      <c r="B20" s="338" t="str">
        <f>VLOOKUP("Supply Side",Labels!$A$1:$C$1001,IF(LanguageSelection="FR",3,2),FALSE)</f>
        <v>Supply Side</v>
      </c>
      <c r="C20" s="99" t="str">
        <f>VLOOKUP("Suppliers",Labels!$A$1:$C$1000,IF(LanguageSelection="FR",3,2),FALSE)</f>
        <v>Suppliers</v>
      </c>
      <c r="D20" s="9">
        <f>IFERROR(SUM(D25:D28)/COUNTIF(D25:D28,"&gt;0"),0)</f>
        <v>0</v>
      </c>
      <c r="E20" s="9">
        <f t="shared" si="14"/>
        <v>0</v>
      </c>
      <c r="F20" t="str">
        <f t="shared" si="1"/>
        <v>Not Measured</v>
      </c>
      <c r="G20" s="9">
        <f>IFERROR(SUM(C25:C28)/COUNTIF(C25:C28,"&gt;0"),0)</f>
        <v>0</v>
      </c>
      <c r="H20" s="9">
        <f t="shared" si="15"/>
        <v>0</v>
      </c>
      <c r="I20" t="str">
        <f t="shared" si="3"/>
        <v>Not Measured</v>
      </c>
      <c r="J20" t="e">
        <f>Calculation!G3</f>
        <v>#DIV/0!</v>
      </c>
      <c r="K20" t="e">
        <f t="shared" si="16"/>
        <v>#DIV/0!</v>
      </c>
      <c r="L20" t="e">
        <f t="shared" si="5"/>
        <v>#DIV/0!</v>
      </c>
      <c r="M20" s="88" t="e">
        <f t="shared" si="6"/>
        <v>#DIV/0!</v>
      </c>
      <c r="N20">
        <f t="shared" si="8"/>
        <v>10.8</v>
      </c>
      <c r="W20" t="str">
        <f>'EAMD Scorecard'!C60</f>
        <v>E5
Expertise development</v>
      </c>
      <c r="X20">
        <f>IFERROR(AVERAGE(D71:D73),0)</f>
        <v>0</v>
      </c>
      <c r="Y20">
        <f>IFERROR(AVERAGE(C71:C73),0)</f>
        <v>0</v>
      </c>
      <c r="Z20" s="376" t="e">
        <f>Calculation!G38</f>
        <v>#DIV/0!</v>
      </c>
      <c r="AB20" s="98" t="s">
        <v>680</v>
      </c>
      <c r="AC20" s="104">
        <f t="shared" si="17"/>
        <v>6.5</v>
      </c>
      <c r="AD20" s="169">
        <f t="shared" si="11"/>
        <v>11.099999999999996</v>
      </c>
      <c r="AE20" s="12">
        <f>COUNTIFS($F3:$F20,Q8,$B$3:$B$20,$T$5)</f>
        <v>0</v>
      </c>
      <c r="AF20" s="104">
        <f t="shared" si="18"/>
        <v>6.5</v>
      </c>
      <c r="AG20" s="208">
        <f t="shared" si="9"/>
        <v>11.699999999999996</v>
      </c>
      <c r="AH20" s="12">
        <f>COUNTIFS($I3:$I20,Q8,$B$3:$B$20,$T$5)</f>
        <v>0</v>
      </c>
      <c r="AI20" s="109">
        <f t="shared" si="7"/>
        <v>6.5</v>
      </c>
      <c r="AJ20" s="208">
        <f t="shared" si="10"/>
        <v>12.299999999999995</v>
      </c>
      <c r="AK20" s="12">
        <f>COUNTIFS($L3:$L20,Q8,$B$3:$B$20,$T$5)</f>
        <v>0</v>
      </c>
    </row>
    <row r="24" spans="1:37" ht="51" customHeight="1" thickBot="1" x14ac:dyDescent="0.3">
      <c r="C24" s="372" t="s">
        <v>723</v>
      </c>
      <c r="D24" s="373" t="s">
        <v>724</v>
      </c>
      <c r="E24" s="372" t="s">
        <v>766</v>
      </c>
      <c r="F24" s="373" t="s">
        <v>767</v>
      </c>
      <c r="G24" s="372" t="s">
        <v>782</v>
      </c>
      <c r="H24" s="373" t="s">
        <v>783</v>
      </c>
    </row>
    <row r="25" spans="1:37" ht="15.75" thickBot="1" x14ac:dyDescent="0.3">
      <c r="A25" s="345" t="s">
        <v>24</v>
      </c>
      <c r="B25" s="346" t="s">
        <v>122</v>
      </c>
      <c r="C25" t="str">
        <f>IF('EAMD Scorecard'!M8&gt;0,VLOOKUP('EAMD Scorecard'!M8,Calculation!AL$2:AM$11,2, FALSE),"")</f>
        <v/>
      </c>
      <c r="D25" t="str">
        <f>IF('EAMD Scorecard'!U8&gt;0,VLOOKUP('EAMD Scorecard'!U8,Calculation!AL$2:AM$11,2, FALSE),"")</f>
        <v/>
      </c>
      <c r="E25" s="11" t="str">
        <f>IF('EAMD Scorecard'!N8&gt;0,VLOOKUP('EAMD Scorecard'!N8,Calculation!$AG$3:$AI$11,3,FALSE),"")</f>
        <v/>
      </c>
      <c r="F25" s="11" t="str">
        <f>IF('EAMD Scorecard'!V8&gt;0,VLOOKUP('EAMD Scorecard'!V8,Calculation!$AG$3:$AI$11,3,FALSE),"")</f>
        <v/>
      </c>
      <c r="G25">
        <f>IF(AND('Diagram Data'!C25&gt;2,OR(E25=Calculation!$AJ$5,E25=Calculation!$AJ$6,E25=Calculation!$AJ$7,E25=Calculation!$AJ$8)),1,0)</f>
        <v>0</v>
      </c>
      <c r="H25">
        <f>IF(AND('Diagram Data'!D25&gt;2,OR(F25=Calculation!$AJ$5,F25=Calculation!$AJ$6,F25=Calculation!$AJ$7,F25=Calculation!$AJ$8)),1,0)</f>
        <v>0</v>
      </c>
    </row>
    <row r="26" spans="1:37" ht="16.5" thickTop="1" thickBot="1" x14ac:dyDescent="0.3">
      <c r="A26" s="347" t="s">
        <v>26</v>
      </c>
      <c r="B26" s="348" t="s">
        <v>123</v>
      </c>
      <c r="C26" t="str">
        <f>IF('EAMD Scorecard'!M9&gt;0,VLOOKUP('EAMD Scorecard'!M9,Calculation!AL$2:AM$11,2, FALSE),"")</f>
        <v/>
      </c>
      <c r="D26" t="str">
        <f>IF('EAMD Scorecard'!U9&gt;0,VLOOKUP('EAMD Scorecard'!U9,Calculation!AL$2:AM$11,2, FALSE),"")</f>
        <v/>
      </c>
      <c r="E26" s="11" t="str">
        <f>IF('EAMD Scorecard'!N9&gt;0,VLOOKUP('EAMD Scorecard'!N9,Calculation!$AG$3:$AI$11,3,FALSE),"")</f>
        <v/>
      </c>
      <c r="F26" s="11" t="str">
        <f>IF('EAMD Scorecard'!V9&gt;0,VLOOKUP('EAMD Scorecard'!V9,Calculation!$AG$3:$AI$11,3,FALSE),"")</f>
        <v/>
      </c>
      <c r="G26">
        <f>IF(AND('Diagram Data'!C26&gt;2,OR(E26=Calculation!$AJ$5,E26=Calculation!$AJ$6,E26=Calculation!$AJ$7,E26=Calculation!$AJ$8)),1,0)</f>
        <v>0</v>
      </c>
      <c r="H26">
        <f>IF(AND('Diagram Data'!D26&gt;2,OR(F26=Calculation!$AJ$5,F26=Calculation!$AJ$6,F26=Calculation!$AJ$7,F26=Calculation!$AJ$8)),1,0)</f>
        <v>0</v>
      </c>
    </row>
    <row r="27" spans="1:37" ht="16.5" thickTop="1" thickBot="1" x14ac:dyDescent="0.3">
      <c r="A27" s="347" t="s">
        <v>27</v>
      </c>
      <c r="B27" s="348" t="s">
        <v>124</v>
      </c>
      <c r="C27" t="str">
        <f>IF('EAMD Scorecard'!M10&gt;0,VLOOKUP('EAMD Scorecard'!M10,Calculation!AL$2:AM$11,2, FALSE),"")</f>
        <v/>
      </c>
      <c r="D27" t="str">
        <f>IF('EAMD Scorecard'!U10&gt;0,VLOOKUP('EAMD Scorecard'!U10,Calculation!AL$2:AM$11,2, FALSE),"")</f>
        <v/>
      </c>
      <c r="E27" s="11" t="str">
        <f>IF('EAMD Scorecard'!N10&gt;0,VLOOKUP('EAMD Scorecard'!N10,Calculation!$AG$3:$AI$11,3,FALSE),"")</f>
        <v/>
      </c>
      <c r="F27" s="11" t="str">
        <f>IF('EAMD Scorecard'!V10&gt;0,VLOOKUP('EAMD Scorecard'!V10,Calculation!$AG$3:$AI$11,3,FALSE),"")</f>
        <v/>
      </c>
      <c r="G27">
        <f>IF(AND('Diagram Data'!C27&gt;2,OR(E27=Calculation!$AJ$5,E27=Calculation!$AJ$6,E27=Calculation!$AJ$7,E27=Calculation!$AJ$8)),1,0)</f>
        <v>0</v>
      </c>
      <c r="H27">
        <f>IF(AND('Diagram Data'!D27&gt;2,OR(F27=Calculation!$AJ$5,F27=Calculation!$AJ$6,F27=Calculation!$AJ$7,F27=Calculation!$AJ$8)),1,0)</f>
        <v>0</v>
      </c>
    </row>
    <row r="28" spans="1:37" ht="15.75" thickTop="1" x14ac:dyDescent="0.25">
      <c r="A28" s="349" t="s">
        <v>29</v>
      </c>
      <c r="B28" s="350" t="s">
        <v>125</v>
      </c>
      <c r="C28" t="str">
        <f>IF('EAMD Scorecard'!M11&gt;0,VLOOKUP('EAMD Scorecard'!M11,Calculation!AL$2:AM$11,2, FALSE),"")</f>
        <v/>
      </c>
      <c r="D28" t="str">
        <f>IF('EAMD Scorecard'!U11&gt;0,VLOOKUP('EAMD Scorecard'!U11,Calculation!AL$2:AM$11,2, FALSE),"")</f>
        <v/>
      </c>
      <c r="E28" s="11" t="str">
        <f>IF('EAMD Scorecard'!N11&gt;0,VLOOKUP('EAMD Scorecard'!N11,Calculation!$AG$3:$AI$11,3,FALSE),"")</f>
        <v/>
      </c>
      <c r="F28" s="11" t="str">
        <f>IF('EAMD Scorecard'!V11&gt;0,VLOOKUP('EAMD Scorecard'!V11,Calculation!$AG$3:$AI$11,3,FALSE),"")</f>
        <v/>
      </c>
      <c r="G28">
        <f>IF(AND('Diagram Data'!C28&gt;2,OR(E28=Calculation!$AJ$5,E28=Calculation!$AJ$6,E28=Calculation!$AJ$7,E28=Calculation!$AJ$8)),1,0)</f>
        <v>0</v>
      </c>
      <c r="H28">
        <f>IF(AND('Diagram Data'!D28&gt;2,OR(F28=Calculation!$AJ$5,F28=Calculation!$AJ$6,F28=Calculation!$AJ$7,F28=Calculation!$AJ$8)),1,0)</f>
        <v>0</v>
      </c>
    </row>
    <row r="29" spans="1:37" ht="15.75" thickBot="1" x14ac:dyDescent="0.3">
      <c r="A29" s="345" t="s">
        <v>31</v>
      </c>
      <c r="B29" s="351" t="s">
        <v>127</v>
      </c>
      <c r="C29" t="str">
        <f>IF('EAMD Scorecard'!M12&gt;0,VLOOKUP('EAMD Scorecard'!M12,Calculation!AL$2:AM$11,2, FALSE),"")</f>
        <v/>
      </c>
      <c r="D29" t="str">
        <f>IF('EAMD Scorecard'!U12&gt;0,VLOOKUP('EAMD Scorecard'!U12,Calculation!AL$2:AM$11,2, FALSE),"")</f>
        <v/>
      </c>
      <c r="E29" s="11" t="str">
        <f>IF('EAMD Scorecard'!N12&gt;0,VLOOKUP('EAMD Scorecard'!N12,Calculation!$AG$3:$AI$11,3,FALSE),"")</f>
        <v/>
      </c>
      <c r="F29" s="11" t="str">
        <f>IF('EAMD Scorecard'!V12&gt;0,VLOOKUP('EAMD Scorecard'!V12,Calculation!$AG$3:$AI$11,3,FALSE),"")</f>
        <v/>
      </c>
      <c r="G29">
        <f>IF(AND('Diagram Data'!C29&gt;2,OR(E29=Calculation!$AJ$5,E29=Calculation!$AJ$6,E29=Calculation!$AJ$7,E29=Calculation!$AJ$8)),1,0)</f>
        <v>0</v>
      </c>
      <c r="H29">
        <f>IF(AND('Diagram Data'!D29&gt;2,OR(F29=Calculation!$AJ$5,F29=Calculation!$AJ$6,F29=Calculation!$AJ$7,F29=Calculation!$AJ$8)),1,0)</f>
        <v>0</v>
      </c>
    </row>
    <row r="30" spans="1:37" ht="15.75" thickTop="1" x14ac:dyDescent="0.25">
      <c r="A30" s="349" t="s">
        <v>32</v>
      </c>
      <c r="B30" s="352" t="s">
        <v>128</v>
      </c>
      <c r="C30" t="str">
        <f>IF('EAMD Scorecard'!M13&gt;0,VLOOKUP('EAMD Scorecard'!M13,Calculation!AL$2:AM$11,2, FALSE),"")</f>
        <v/>
      </c>
      <c r="D30" t="str">
        <f>IF('EAMD Scorecard'!U13&gt;0,VLOOKUP('EAMD Scorecard'!U13,Calculation!AL$2:AM$11,2, FALSE),"")</f>
        <v/>
      </c>
      <c r="E30" s="11" t="str">
        <f>IF('EAMD Scorecard'!N13&gt;0,VLOOKUP('EAMD Scorecard'!N13,Calculation!$AG$3:$AI$11,3,FALSE),"")</f>
        <v/>
      </c>
      <c r="F30" s="11" t="str">
        <f>IF('EAMD Scorecard'!V13&gt;0,VLOOKUP('EAMD Scorecard'!V13,Calculation!$AG$3:$AI$11,3,FALSE),"")</f>
        <v/>
      </c>
      <c r="G30">
        <f>IF(AND('Diagram Data'!C30&gt;2,OR(E30=Calculation!$AJ$5,E30=Calculation!$AJ$6,E30=Calculation!$AJ$7,E30=Calculation!$AJ$8)),1,0)</f>
        <v>0</v>
      </c>
      <c r="H30">
        <f>IF(AND('Diagram Data'!D30&gt;2,OR(F30=Calculation!$AJ$5,F30=Calculation!$AJ$6,F30=Calculation!$AJ$7,F30=Calculation!$AJ$8)),1,0)</f>
        <v>0</v>
      </c>
    </row>
    <row r="31" spans="1:37" ht="15.75" thickBot="1" x14ac:dyDescent="0.3">
      <c r="A31" s="353"/>
      <c r="B31" s="351" t="s">
        <v>130</v>
      </c>
      <c r="C31" t="str">
        <f>IF('EAMD Scorecard'!M14&gt;0,VLOOKUP('EAMD Scorecard'!M14,Calculation!AL$2:AM$11,2, FALSE),"")</f>
        <v/>
      </c>
      <c r="D31" t="str">
        <f>IF('EAMD Scorecard'!U14&gt;0,VLOOKUP('EAMD Scorecard'!U14,Calculation!AL$2:AM$11,2, FALSE),"")</f>
        <v/>
      </c>
      <c r="E31" s="11" t="str">
        <f>IF('EAMD Scorecard'!N14&gt;0,VLOOKUP('EAMD Scorecard'!N14,Calculation!$AG$3:$AI$11,3,FALSE),"")</f>
        <v/>
      </c>
      <c r="F31" s="11" t="str">
        <f>IF('EAMD Scorecard'!V14&gt;0,VLOOKUP('EAMD Scorecard'!V14,Calculation!$AG$3:$AI$11,3,FALSE),"")</f>
        <v/>
      </c>
      <c r="G31">
        <f>IF(AND('Diagram Data'!C31&gt;2,OR(E31=Calculation!$AJ$5,E31=Calculation!$AJ$6,E31=Calculation!$AJ$7,E31=Calculation!$AJ$8)),1,0)</f>
        <v>0</v>
      </c>
      <c r="H31">
        <f>IF(AND('Diagram Data'!D31&gt;2,OR(F31=Calculation!$AJ$5,F31=Calculation!$AJ$6,F31=Calculation!$AJ$7,F31=Calculation!$AJ$8)),1,0)</f>
        <v>0</v>
      </c>
    </row>
    <row r="32" spans="1:37" ht="16.5" thickTop="1" thickBot="1" x14ac:dyDescent="0.3">
      <c r="A32" s="354"/>
      <c r="B32" s="355" t="s">
        <v>132</v>
      </c>
      <c r="C32" t="str">
        <f>IF('EAMD Scorecard'!M15&gt;0,VLOOKUP('EAMD Scorecard'!M15,Calculation!AL$2:AM$11,2, FALSE),"")</f>
        <v/>
      </c>
      <c r="D32" t="str">
        <f>IF('EAMD Scorecard'!U15&gt;0,VLOOKUP('EAMD Scorecard'!U15,Calculation!AL$2:AM$11,2, FALSE),"")</f>
        <v/>
      </c>
      <c r="E32" s="11" t="str">
        <f>IF('EAMD Scorecard'!N15&gt;0,VLOOKUP('EAMD Scorecard'!N15,Calculation!$AG$3:$AI$11,3,FALSE),"")</f>
        <v/>
      </c>
      <c r="F32" s="11" t="str">
        <f>IF('EAMD Scorecard'!V15&gt;0,VLOOKUP('EAMD Scorecard'!V15,Calculation!$AG$3:$AI$11,3,FALSE),"")</f>
        <v/>
      </c>
      <c r="G32">
        <f>IF(AND('Diagram Data'!C32&gt;2,OR(E32=Calculation!$AJ$5,E32=Calculation!$AJ$6,E32=Calculation!$AJ$7,E32=Calculation!$AJ$8)),1,0)</f>
        <v>0</v>
      </c>
      <c r="H32">
        <f>IF(AND('Diagram Data'!D32&gt;2,OR(F32=Calculation!$AJ$5,F32=Calculation!$AJ$6,F32=Calculation!$AJ$7,F32=Calculation!$AJ$8)),1,0)</f>
        <v>0</v>
      </c>
    </row>
    <row r="33" spans="1:8" ht="16.5" thickTop="1" thickBot="1" x14ac:dyDescent="0.3">
      <c r="A33" s="354"/>
      <c r="B33" s="355" t="s">
        <v>133</v>
      </c>
      <c r="C33" t="str">
        <f>IF('EAMD Scorecard'!M16&gt;0,VLOOKUP('EAMD Scorecard'!M16,Calculation!AL$2:AM$11,2, FALSE),"")</f>
        <v/>
      </c>
      <c r="D33" t="str">
        <f>IF('EAMD Scorecard'!U16&gt;0,VLOOKUP('EAMD Scorecard'!U16,Calculation!AL$2:AM$11,2, FALSE),"")</f>
        <v/>
      </c>
      <c r="E33" s="11" t="str">
        <f>IF('EAMD Scorecard'!N16&gt;0,VLOOKUP('EAMD Scorecard'!N16,Calculation!$AG$3:$AI$11,3,FALSE),"")</f>
        <v/>
      </c>
      <c r="F33" s="11" t="str">
        <f>IF('EAMD Scorecard'!V16&gt;0,VLOOKUP('EAMD Scorecard'!V16,Calculation!$AG$3:$AI$11,3,FALSE),"")</f>
        <v/>
      </c>
      <c r="G33">
        <f>IF(AND('Diagram Data'!C33&gt;2,OR(E33=Calculation!$AJ$5,E33=Calculation!$AJ$6,E33=Calculation!$AJ$7,E33=Calculation!$AJ$8)),1,0)</f>
        <v>0</v>
      </c>
      <c r="H33">
        <f>IF(AND('Diagram Data'!D33&gt;2,OR(F33=Calculation!$AJ$5,F33=Calculation!$AJ$6,F33=Calculation!$AJ$7,F33=Calculation!$AJ$8)),1,0)</f>
        <v>0</v>
      </c>
    </row>
    <row r="34" spans="1:8" ht="15.75" thickTop="1" x14ac:dyDescent="0.25">
      <c r="A34" s="349" t="s">
        <v>35</v>
      </c>
      <c r="B34" s="352" t="s">
        <v>134</v>
      </c>
      <c r="C34" t="str">
        <f>IF('EAMD Scorecard'!M17&gt;0,VLOOKUP('EAMD Scorecard'!M17,Calculation!AL$2:AM$11,2, FALSE),"")</f>
        <v/>
      </c>
      <c r="D34" t="str">
        <f>IF('EAMD Scorecard'!U17&gt;0,VLOOKUP('EAMD Scorecard'!U17,Calculation!AL$2:AM$11,2, FALSE),"")</f>
        <v/>
      </c>
      <c r="E34" s="11" t="str">
        <f>IF('EAMD Scorecard'!N17&gt;0,VLOOKUP('EAMD Scorecard'!N17,Calculation!$AG$3:$AI$11,3,FALSE),"")</f>
        <v/>
      </c>
      <c r="F34" s="11" t="str">
        <f>IF('EAMD Scorecard'!V17&gt;0,VLOOKUP('EAMD Scorecard'!V17,Calculation!$AG$3:$AI$11,3,FALSE),"")</f>
        <v/>
      </c>
      <c r="G34">
        <f>IF(AND('Diagram Data'!C34&gt;2,OR(E34=Calculation!$AJ$5,E34=Calculation!$AJ$6,E34=Calculation!$AJ$7,E34=Calculation!$AJ$8)),1,0)</f>
        <v>0</v>
      </c>
      <c r="H34">
        <f>IF(AND('Diagram Data'!D34&gt;2,OR(F34=Calculation!$AJ$5,F34=Calculation!$AJ$6,F34=Calculation!$AJ$7,F34=Calculation!$AJ$8)),1,0)</f>
        <v>0</v>
      </c>
    </row>
    <row r="35" spans="1:8" ht="15.75" thickBot="1" x14ac:dyDescent="0.3">
      <c r="A35" s="356" t="s">
        <v>36</v>
      </c>
      <c r="B35" s="346" t="s">
        <v>136</v>
      </c>
      <c r="C35" t="str">
        <f>IF('EAMD Scorecard'!M18&gt;0,VLOOKUP('EAMD Scorecard'!M18,Calculation!AL$2:AM$11,2, FALSE),"")</f>
        <v/>
      </c>
      <c r="D35" t="str">
        <f>IF('EAMD Scorecard'!U18&gt;0,VLOOKUP('EAMD Scorecard'!U18,Calculation!AL$2:AM$11,2, FALSE),"")</f>
        <v/>
      </c>
      <c r="E35" s="11" t="str">
        <f>IF('EAMD Scorecard'!N18&gt;0,VLOOKUP('EAMD Scorecard'!N18,Calculation!$AG$3:$AI$11,3,FALSE),"")</f>
        <v/>
      </c>
      <c r="F35" s="11" t="str">
        <f>IF('EAMD Scorecard'!V18&gt;0,VLOOKUP('EAMD Scorecard'!V18,Calculation!$AG$3:$AI$11,3,FALSE),"")</f>
        <v/>
      </c>
      <c r="G35">
        <f>IF(AND('Diagram Data'!C35&gt;2,OR(E35=Calculation!$AJ$5,E35=Calculation!$AJ$6,E35=Calculation!$AJ$7,E35=Calculation!$AJ$8)),1,0)</f>
        <v>0</v>
      </c>
      <c r="H35">
        <f>IF(AND('Diagram Data'!D35&gt;2,OR(F35=Calculation!$AJ$5,F35=Calculation!$AJ$6,F35=Calculation!$AJ$7,F35=Calculation!$AJ$8)),1,0)</f>
        <v>0</v>
      </c>
    </row>
    <row r="36" spans="1:8" ht="16.5" thickTop="1" thickBot="1" x14ac:dyDescent="0.3">
      <c r="A36" s="357" t="s">
        <v>37</v>
      </c>
      <c r="B36" s="355" t="s">
        <v>137</v>
      </c>
      <c r="C36" t="str">
        <f>IF('EAMD Scorecard'!M19&gt;0,VLOOKUP('EAMD Scorecard'!M19,Calculation!AL$2:AM$11,2, FALSE),"")</f>
        <v/>
      </c>
      <c r="D36" t="str">
        <f>IF('EAMD Scorecard'!U19&gt;0,VLOOKUP('EAMD Scorecard'!U19,Calculation!AL$2:AM$11,2, FALSE),"")</f>
        <v/>
      </c>
      <c r="E36" s="11" t="str">
        <f>IF('EAMD Scorecard'!N19&gt;0,VLOOKUP('EAMD Scorecard'!N19,Calculation!$AG$3:$AI$11,3,FALSE),"")</f>
        <v/>
      </c>
      <c r="F36" s="11" t="str">
        <f>IF('EAMD Scorecard'!V19&gt;0,VLOOKUP('EAMD Scorecard'!V19,Calculation!$AG$3:$AI$11,3,FALSE),"")</f>
        <v/>
      </c>
      <c r="G36">
        <f>IF(AND('Diagram Data'!C36&gt;2,OR(E36=Calculation!$AJ$5,E36=Calculation!$AJ$6,E36=Calculation!$AJ$7,E36=Calculation!$AJ$8)),1,0)</f>
        <v>0</v>
      </c>
      <c r="H36">
        <f>IF(AND('Diagram Data'!D36&gt;2,OR(F36=Calculation!$AJ$5,F36=Calculation!$AJ$6,F36=Calculation!$AJ$7,F36=Calculation!$AJ$8)),1,0)</f>
        <v>0</v>
      </c>
    </row>
    <row r="37" spans="1:8" ht="16.5" thickTop="1" thickBot="1" x14ac:dyDescent="0.3">
      <c r="A37" s="358"/>
      <c r="B37" s="348" t="s">
        <v>138</v>
      </c>
      <c r="C37" t="str">
        <f>IF('EAMD Scorecard'!M20&gt;0,VLOOKUP('EAMD Scorecard'!M20,Calculation!AL$2:AM$11,2, FALSE),"")</f>
        <v/>
      </c>
      <c r="D37" t="str">
        <f>IF('EAMD Scorecard'!U20&gt;0,VLOOKUP('EAMD Scorecard'!U20,Calculation!AL$2:AM$11,2, FALSE),"")</f>
        <v/>
      </c>
      <c r="E37" s="11" t="str">
        <f>IF('EAMD Scorecard'!N20&gt;0,VLOOKUP('EAMD Scorecard'!N20,Calculation!$AG$3:$AI$11,3,FALSE),"")</f>
        <v/>
      </c>
      <c r="F37" s="11" t="str">
        <f>IF('EAMD Scorecard'!V20&gt;0,VLOOKUP('EAMD Scorecard'!V20,Calculation!$AG$3:$AI$11,3,FALSE),"")</f>
        <v/>
      </c>
      <c r="G37">
        <f>IF(AND('Diagram Data'!C37&gt;2,OR(E37=Calculation!$AJ$5,E37=Calculation!$AJ$6,E37=Calculation!$AJ$7,E37=Calculation!$AJ$8)),1,0)</f>
        <v>0</v>
      </c>
      <c r="H37">
        <f>IF(AND('Diagram Data'!D37&gt;2,OR(F37=Calculation!$AJ$5,F37=Calculation!$AJ$6,F37=Calculation!$AJ$7,F37=Calculation!$AJ$8)),1,0)</f>
        <v>0</v>
      </c>
    </row>
    <row r="38" spans="1:8" ht="16.5" thickTop="1" thickBot="1" x14ac:dyDescent="0.3">
      <c r="A38" s="357" t="s">
        <v>38</v>
      </c>
      <c r="B38" s="348" t="s">
        <v>360</v>
      </c>
      <c r="C38" t="str">
        <f>IF('EAMD Scorecard'!M21&gt;0,VLOOKUP('EAMD Scorecard'!M21,Calculation!AL$2:AM$11,2, FALSE),"")</f>
        <v/>
      </c>
      <c r="D38" t="str">
        <f>IF('EAMD Scorecard'!U21&gt;0,VLOOKUP('EAMD Scorecard'!U21,Calculation!AL$2:AM$11,2, FALSE),"")</f>
        <v/>
      </c>
      <c r="E38" s="11" t="str">
        <f>IF('EAMD Scorecard'!N21&gt;0,VLOOKUP('EAMD Scorecard'!N21,Calculation!$AG$3:$AI$11,3,FALSE),"")</f>
        <v/>
      </c>
      <c r="F38" s="11" t="str">
        <f>IF('EAMD Scorecard'!V21&gt;0,VLOOKUP('EAMD Scorecard'!V21,Calculation!$AG$3:$AI$11,3,FALSE),"")</f>
        <v/>
      </c>
      <c r="G38">
        <f>IF(AND('Diagram Data'!C38&gt;2,OR(E38=Calculation!$AJ$5,E38=Calculation!$AJ$6,E38=Calculation!$AJ$7,E38=Calculation!$AJ$8)),1,0)</f>
        <v>0</v>
      </c>
      <c r="H38">
        <f>IF(AND('Diagram Data'!D38&gt;2,OR(F38=Calculation!$AJ$5,F38=Calculation!$AJ$6,F38=Calculation!$AJ$7,F38=Calculation!$AJ$8)),1,0)</f>
        <v>0</v>
      </c>
    </row>
    <row r="39" spans="1:8" ht="15.75" thickTop="1" x14ac:dyDescent="0.25">
      <c r="A39" s="349" t="s">
        <v>39</v>
      </c>
      <c r="B39" s="359" t="s">
        <v>140</v>
      </c>
      <c r="C39" t="str">
        <f>IF('EAMD Scorecard'!M22&gt;0,VLOOKUP('EAMD Scorecard'!M22,Calculation!AL$2:AM$11,2, FALSE),"")</f>
        <v/>
      </c>
      <c r="D39" t="str">
        <f>IF('EAMD Scorecard'!U22&gt;0,VLOOKUP('EAMD Scorecard'!U22,Calculation!AL$2:AM$11,2, FALSE),"")</f>
        <v/>
      </c>
      <c r="E39" s="11" t="str">
        <f>IF('EAMD Scorecard'!N22&gt;0,VLOOKUP('EAMD Scorecard'!N22,Calculation!$AG$3:$AI$11,3,FALSE),"")</f>
        <v/>
      </c>
      <c r="F39" s="11" t="str">
        <f>IF('EAMD Scorecard'!V22&gt;0,VLOOKUP('EAMD Scorecard'!V22,Calculation!$AG$3:$AI$11,3,FALSE),"")</f>
        <v/>
      </c>
      <c r="G39">
        <f>IF(AND('Diagram Data'!C39&gt;2,OR(E39=Calculation!$AJ$5,E39=Calculation!$AJ$6,E39=Calculation!$AJ$7,E39=Calculation!$AJ$8)),1,0)</f>
        <v>0</v>
      </c>
      <c r="H39">
        <f>IF(AND('Diagram Data'!D39&gt;2,OR(F39=Calculation!$AJ$5,F39=Calculation!$AJ$6,F39=Calculation!$AJ$7,F39=Calculation!$AJ$8)),1,0)</f>
        <v>0</v>
      </c>
    </row>
    <row r="40" spans="1:8" x14ac:dyDescent="0.25">
      <c r="A40" s="360"/>
      <c r="B40" s="361" t="s">
        <v>142</v>
      </c>
      <c r="C40" t="str">
        <f>IF('EAMD Scorecard'!M23&gt;0,VLOOKUP('EAMD Scorecard'!M23,Calculation!AL$2:AM$11,2, FALSE),"")</f>
        <v/>
      </c>
      <c r="D40" t="str">
        <f>IF('EAMD Scorecard'!U23&gt;0,VLOOKUP('EAMD Scorecard'!U23,Calculation!AL$2:AM$11,2, FALSE),"")</f>
        <v/>
      </c>
      <c r="E40" s="11" t="str">
        <f>IF('EAMD Scorecard'!N23&gt;0,VLOOKUP('EAMD Scorecard'!N23,Calculation!$AG$3:$AI$11,3,FALSE),"")</f>
        <v/>
      </c>
      <c r="F40" s="11" t="str">
        <f>IF('EAMD Scorecard'!V23&gt;0,VLOOKUP('EAMD Scorecard'!V23,Calculation!$AG$3:$AI$11,3,FALSE),"")</f>
        <v/>
      </c>
      <c r="G40">
        <f>IF(AND('Diagram Data'!C40&gt;2,OR(E40=Calculation!$AJ$5,E40=Calculation!$AJ$6,E40=Calculation!$AJ$7,E40=Calculation!$AJ$8)),1,0)</f>
        <v>0</v>
      </c>
      <c r="H40">
        <f>IF(AND('Diagram Data'!D40&gt;2,OR(F40=Calculation!$AJ$5,F40=Calculation!$AJ$6,F40=Calculation!$AJ$7,F40=Calculation!$AJ$8)),1,0)</f>
        <v>0</v>
      </c>
    </row>
    <row r="41" spans="1:8" ht="15.75" thickBot="1" x14ac:dyDescent="0.3">
      <c r="A41" s="353"/>
      <c r="B41" s="351" t="s">
        <v>144</v>
      </c>
      <c r="C41" t="str">
        <f>IF('EAMD Scorecard'!M24&gt;0,VLOOKUP('EAMD Scorecard'!M24,Calculation!AL$2:AM$11,2, FALSE),"")</f>
        <v/>
      </c>
      <c r="D41" t="str">
        <f>IF('EAMD Scorecard'!U24&gt;0,VLOOKUP('EAMD Scorecard'!U24,Calculation!AL$2:AM$11,2, FALSE),"")</f>
        <v/>
      </c>
      <c r="E41" s="11" t="str">
        <f>IF('EAMD Scorecard'!N24&gt;0,VLOOKUP('EAMD Scorecard'!N24,Calculation!$AG$3:$AI$11,3,FALSE),"")</f>
        <v/>
      </c>
      <c r="F41" s="11" t="str">
        <f>IF('EAMD Scorecard'!V24&gt;0,VLOOKUP('EAMD Scorecard'!V24,Calculation!$AG$3:$AI$11,3,FALSE),"")</f>
        <v/>
      </c>
      <c r="G41">
        <f>IF(AND('Diagram Data'!C41&gt;2,OR(E41=Calculation!$AJ$5,E41=Calculation!$AJ$6,E41=Calculation!$AJ$7,E41=Calculation!$AJ$8)),1,0)</f>
        <v>0</v>
      </c>
      <c r="H41">
        <f>IF(AND('Diagram Data'!D41&gt;2,OR(F41=Calculation!$AJ$5,F41=Calculation!$AJ$6,F41=Calculation!$AJ$7,F41=Calculation!$AJ$8)),1,0)</f>
        <v>0</v>
      </c>
    </row>
    <row r="42" spans="1:8" ht="15.75" thickTop="1" x14ac:dyDescent="0.25">
      <c r="A42" s="362"/>
      <c r="B42" s="352" t="s">
        <v>145</v>
      </c>
      <c r="C42" t="str">
        <f>IF('EAMD Scorecard'!M25&gt;0,VLOOKUP('EAMD Scorecard'!M25,Calculation!AL$2:AM$11,2, FALSE),"")</f>
        <v/>
      </c>
      <c r="D42" t="str">
        <f>IF('EAMD Scorecard'!U25&gt;0,VLOOKUP('EAMD Scorecard'!U25,Calculation!AL$2:AM$11,2, FALSE),"")</f>
        <v/>
      </c>
      <c r="E42" s="11" t="str">
        <f>IF('EAMD Scorecard'!N25&gt;0,VLOOKUP('EAMD Scorecard'!N25,Calculation!$AG$3:$AI$11,3,FALSE),"")</f>
        <v/>
      </c>
      <c r="F42" s="11" t="str">
        <f>IF('EAMD Scorecard'!V25&gt;0,VLOOKUP('EAMD Scorecard'!V25,Calculation!$AG$3:$AI$11,3,FALSE),"")</f>
        <v/>
      </c>
      <c r="G42">
        <f>IF(AND('Diagram Data'!C42&gt;2,OR(E42=Calculation!$AJ$5,E42=Calculation!$AJ$6,E42=Calculation!$AJ$7,E42=Calculation!$AJ$8)),1,0)</f>
        <v>0</v>
      </c>
      <c r="H42">
        <f>IF(AND('Diagram Data'!D42&gt;2,OR(F42=Calculation!$AJ$5,F42=Calculation!$AJ$6,F42=Calculation!$AJ$7,F42=Calculation!$AJ$8)),1,0)</f>
        <v>0</v>
      </c>
    </row>
    <row r="43" spans="1:8" x14ac:dyDescent="0.25">
      <c r="A43" s="363" t="s">
        <v>40</v>
      </c>
      <c r="B43" s="364" t="s">
        <v>76</v>
      </c>
      <c r="C43" t="str">
        <f>IF('EAMD Scorecard'!M26&gt;0,VLOOKUP('EAMD Scorecard'!M26,Calculation!AL$2:AM$11,2, FALSE),"")</f>
        <v/>
      </c>
      <c r="D43" t="str">
        <f>IF('EAMD Scorecard'!U26&gt;0,VLOOKUP('EAMD Scorecard'!U26,Calculation!AL$2:AM$11,2, FALSE),"")</f>
        <v/>
      </c>
      <c r="E43" s="11" t="str">
        <f>IF('EAMD Scorecard'!N26&gt;0,VLOOKUP('EAMD Scorecard'!N26,Calculation!$AG$3:$AI$11,3,FALSE),"")</f>
        <v/>
      </c>
      <c r="F43" s="11" t="str">
        <f>IF('EAMD Scorecard'!V26&gt;0,VLOOKUP('EAMD Scorecard'!V26,Calculation!$AG$3:$AI$11,3,FALSE),"")</f>
        <v/>
      </c>
      <c r="G43">
        <f>IF(AND('Diagram Data'!C43&gt;2,OR(E43=Calculation!$AJ$5,E43=Calculation!$AJ$6,E43=Calculation!$AJ$7,E43=Calculation!$AJ$8)),1,0)</f>
        <v>0</v>
      </c>
      <c r="H43">
        <f>IF(AND('Diagram Data'!D43&gt;2,OR(F43=Calculation!$AJ$5,F43=Calculation!$AJ$6,F43=Calculation!$AJ$7,F43=Calculation!$AJ$8)),1,0)</f>
        <v>0</v>
      </c>
    </row>
    <row r="44" spans="1:8" ht="15.75" thickBot="1" x14ac:dyDescent="0.3">
      <c r="A44" s="365" t="s">
        <v>41</v>
      </c>
      <c r="B44" s="351" t="s">
        <v>148</v>
      </c>
      <c r="C44" t="str">
        <f>IF('EAMD Scorecard'!M27&gt;0,VLOOKUP('EAMD Scorecard'!M27,Calculation!AL$2:AM$11,2, FALSE),"")</f>
        <v/>
      </c>
      <c r="D44" t="str">
        <f>IF('EAMD Scorecard'!U27&gt;0,VLOOKUP('EAMD Scorecard'!U27,Calculation!AL$2:AM$11,2, FALSE),"")</f>
        <v/>
      </c>
      <c r="E44" s="11" t="str">
        <f>IF('EAMD Scorecard'!N27&gt;0,VLOOKUP('EAMD Scorecard'!N27,Calculation!$AG$3:$AI$11,3,FALSE),"")</f>
        <v/>
      </c>
      <c r="F44" s="11" t="str">
        <f>IF('EAMD Scorecard'!V27&gt;0,VLOOKUP('EAMD Scorecard'!V27,Calculation!$AG$3:$AI$11,3,FALSE),"")</f>
        <v/>
      </c>
      <c r="G44">
        <f>IF(AND('Diagram Data'!C44&gt;2,OR(E44=Calculation!$AJ$5,E44=Calculation!$AJ$6,E44=Calculation!$AJ$7,E44=Calculation!$AJ$8)),1,0)</f>
        <v>0</v>
      </c>
      <c r="H44">
        <f>IF(AND('Diagram Data'!D44&gt;2,OR(F44=Calculation!$AJ$5,F44=Calculation!$AJ$6,F44=Calculation!$AJ$7,F44=Calculation!$AJ$8)),1,0)</f>
        <v>0</v>
      </c>
    </row>
    <row r="45" spans="1:8" ht="16.5" thickTop="1" thickBot="1" x14ac:dyDescent="0.3">
      <c r="A45" s="366"/>
      <c r="B45" s="355" t="s">
        <v>149</v>
      </c>
      <c r="C45" t="str">
        <f>IF('EAMD Scorecard'!M28&gt;0,VLOOKUP('EAMD Scorecard'!M28,Calculation!AL$2:AM$11,2, FALSE),"")</f>
        <v/>
      </c>
      <c r="D45" t="str">
        <f>IF('EAMD Scorecard'!U28&gt;0,VLOOKUP('EAMD Scorecard'!U28,Calculation!AL$2:AM$11,2, FALSE),"")</f>
        <v/>
      </c>
      <c r="E45" s="11" t="str">
        <f>IF('EAMD Scorecard'!N28&gt;0,VLOOKUP('EAMD Scorecard'!N28,Calculation!$AG$3:$AI$11,3,FALSE),"")</f>
        <v/>
      </c>
      <c r="F45" s="11" t="str">
        <f>IF('EAMD Scorecard'!V28&gt;0,VLOOKUP('EAMD Scorecard'!V28,Calculation!$AG$3:$AI$11,3,FALSE),"")</f>
        <v/>
      </c>
      <c r="G45">
        <f>IF(AND('Diagram Data'!C45&gt;2,OR(E45=Calculation!$AJ$5,E45=Calculation!$AJ$6,E45=Calculation!$AJ$7,E45=Calculation!$AJ$8)),1,0)</f>
        <v>0</v>
      </c>
      <c r="H45">
        <f>IF(AND('Diagram Data'!D45&gt;2,OR(F45=Calculation!$AJ$5,F45=Calculation!$AJ$6,F45=Calculation!$AJ$7,F45=Calculation!$AJ$8)),1,0)</f>
        <v>0</v>
      </c>
    </row>
    <row r="46" spans="1:8" ht="16.5" thickTop="1" thickBot="1" x14ac:dyDescent="0.3">
      <c r="A46" s="367" t="s">
        <v>42</v>
      </c>
      <c r="B46" s="348" t="s">
        <v>150</v>
      </c>
      <c r="C46" t="str">
        <f>IF('EAMD Scorecard'!M29&gt;0,VLOOKUP('EAMD Scorecard'!M29,Calculation!AL$2:AM$11,2, FALSE),"")</f>
        <v/>
      </c>
      <c r="D46" t="str">
        <f>IF('EAMD Scorecard'!U29&gt;0,VLOOKUP('EAMD Scorecard'!U29,Calculation!AL$2:AM$11,2, FALSE),"")</f>
        <v/>
      </c>
      <c r="E46" s="11" t="str">
        <f>IF('EAMD Scorecard'!N29&gt;0,VLOOKUP('EAMD Scorecard'!N29,Calculation!$AG$3:$AI$11,3,FALSE),"")</f>
        <v/>
      </c>
      <c r="F46" s="11" t="str">
        <f>IF('EAMD Scorecard'!V29&gt;0,VLOOKUP('EAMD Scorecard'!V29,Calculation!$AG$3:$AI$11,3,FALSE),"")</f>
        <v/>
      </c>
      <c r="G46">
        <f>IF(AND('Diagram Data'!C46&gt;2,OR(E46=Calculation!$AJ$5,E46=Calculation!$AJ$6,E46=Calculation!$AJ$7,E46=Calculation!$AJ$8)),1,0)</f>
        <v>0</v>
      </c>
      <c r="H46">
        <f>IF(AND('Diagram Data'!D46&gt;2,OR(F46=Calculation!$AJ$5,F46=Calculation!$AJ$6,F46=Calculation!$AJ$7,F46=Calculation!$AJ$8)),1,0)</f>
        <v>0</v>
      </c>
    </row>
    <row r="47" spans="1:8" ht="16.5" thickTop="1" thickBot="1" x14ac:dyDescent="0.3">
      <c r="A47" s="367"/>
      <c r="B47" s="348" t="s">
        <v>151</v>
      </c>
      <c r="C47" t="str">
        <f>IF('EAMD Scorecard'!M30&gt;0,VLOOKUP('EAMD Scorecard'!M30,Calculation!AL$2:AM$11,2, FALSE),"")</f>
        <v/>
      </c>
      <c r="D47" t="str">
        <f>IF('EAMD Scorecard'!U30&gt;0,VLOOKUP('EAMD Scorecard'!U30,Calculation!AL$2:AM$11,2, FALSE),"")</f>
        <v/>
      </c>
      <c r="E47" s="11" t="str">
        <f>IF('EAMD Scorecard'!N30&gt;0,VLOOKUP('EAMD Scorecard'!N30,Calculation!$AG$3:$AI$11,3,FALSE),"")</f>
        <v/>
      </c>
      <c r="F47" s="11" t="str">
        <f>IF('EAMD Scorecard'!V30&gt;0,VLOOKUP('EAMD Scorecard'!V30,Calculation!$AG$3:$AI$11,3,FALSE),"")</f>
        <v/>
      </c>
      <c r="G47">
        <f>IF(AND('Diagram Data'!C47&gt;2,OR(E47=Calculation!$AJ$5,E47=Calculation!$AJ$6,E47=Calculation!$AJ$7,E47=Calculation!$AJ$8)),1,0)</f>
        <v>0</v>
      </c>
      <c r="H47">
        <f>IF(AND('Diagram Data'!D47&gt;2,OR(F47=Calculation!$AJ$5,F47=Calculation!$AJ$6,F47=Calculation!$AJ$7,F47=Calculation!$AJ$8)),1,0)</f>
        <v>0</v>
      </c>
    </row>
    <row r="48" spans="1:8" ht="27" thickTop="1" thickBot="1" x14ac:dyDescent="0.3">
      <c r="A48" s="367" t="s">
        <v>44</v>
      </c>
      <c r="B48" s="355" t="s">
        <v>152</v>
      </c>
      <c r="C48" t="str">
        <f>IF('EAMD Scorecard'!M31&gt;0,VLOOKUP('EAMD Scorecard'!M31,Calculation!AL$2:AM$11,2, FALSE),"")</f>
        <v/>
      </c>
      <c r="D48" t="str">
        <f>IF('EAMD Scorecard'!U31&gt;0,VLOOKUP('EAMD Scorecard'!U31,Calculation!AL$2:AM$11,2, FALSE),"")</f>
        <v/>
      </c>
      <c r="E48" s="11" t="str">
        <f>IF('EAMD Scorecard'!N31&gt;0,VLOOKUP('EAMD Scorecard'!N31,Calculation!$AG$3:$AI$11,3,FALSE),"")</f>
        <v/>
      </c>
      <c r="F48" s="11" t="str">
        <f>IF('EAMD Scorecard'!V31&gt;0,VLOOKUP('EAMD Scorecard'!V31,Calculation!$AG$3:$AI$11,3,FALSE),"")</f>
        <v/>
      </c>
      <c r="G48">
        <f>IF(AND('Diagram Data'!C48&gt;2,OR(E48=Calculation!$AJ$5,E48=Calculation!$AJ$6,E48=Calculation!$AJ$7,E48=Calculation!$AJ$8)),1,0)</f>
        <v>0</v>
      </c>
      <c r="H48">
        <f>IF(AND('Diagram Data'!D48&gt;2,OR(F48=Calculation!$AJ$5,F48=Calculation!$AJ$6,F48=Calculation!$AJ$7,F48=Calculation!$AJ$8)),1,0)</f>
        <v>0</v>
      </c>
    </row>
    <row r="49" spans="1:8" ht="16.5" thickTop="1" thickBot="1" x14ac:dyDescent="0.3">
      <c r="A49" s="398"/>
      <c r="B49" s="395" t="s">
        <v>153</v>
      </c>
      <c r="C49" s="371" t="str">
        <f>IF('EAMD Scorecard'!M32&gt;0,VLOOKUP('EAMD Scorecard'!M32,Calculation!AL$2:AM$11,2, FALSE),"")</f>
        <v/>
      </c>
      <c r="D49" s="97" t="str">
        <f>IF('EAMD Scorecard'!U32&gt;0,VLOOKUP('EAMD Scorecard'!U32,Calculation!AL$2:AM$11,2, FALSE),"")</f>
        <v/>
      </c>
      <c r="E49" s="402" t="str">
        <f>IF('EAMD Scorecard'!N32&gt;0,VLOOKUP('EAMD Scorecard'!N32,Calculation!$AG$3:$AI$11,3,FALSE),"")</f>
        <v/>
      </c>
      <c r="F49" s="402" t="str">
        <f>IF('EAMD Scorecard'!V32&gt;0,VLOOKUP('EAMD Scorecard'!V32,Calculation!$AG$3:$AI$11,3,FALSE),"")</f>
        <v/>
      </c>
      <c r="G49">
        <f>IF(AND('Diagram Data'!C49&gt;2,OR(E49=Calculation!$AJ$5,E49=Calculation!$AJ$6,E49=Calculation!$AJ$7,E49=Calculation!$AJ$8)),1,0)</f>
        <v>0</v>
      </c>
      <c r="H49">
        <f>IF(AND('Diagram Data'!D49&gt;2,OR(F49=Calculation!$AJ$5,F49=Calculation!$AJ$6,F49=Calculation!$AJ$7,F49=Calculation!$AJ$8)),1,0)</f>
        <v>0</v>
      </c>
    </row>
    <row r="50" spans="1:8" x14ac:dyDescent="0.25">
      <c r="A50" s="396" t="s">
        <v>11</v>
      </c>
      <c r="B50" s="397" t="s">
        <v>156</v>
      </c>
      <c r="C50" t="str">
        <f>IF('EAMD Scorecard'!M37&gt;0,VLOOKUP('EAMD Scorecard'!M37,Calculation!AL$2:AM$11,2, FALSE),"")</f>
        <v/>
      </c>
      <c r="D50" t="str">
        <f>IF('EAMD Scorecard'!U37&gt;0,VLOOKUP('EAMD Scorecard'!U37,Calculation!AL$2:AM$11,2, FALSE),"")</f>
        <v/>
      </c>
      <c r="E50" s="11" t="str">
        <f>IF('EAMD Scorecard'!N37&gt;0,VLOOKUP('EAMD Scorecard'!N37,Calculation!$AG$3:$AI$11,3,FALSE),"")</f>
        <v/>
      </c>
      <c r="F50" s="11" t="str">
        <f>IF('EAMD Scorecard'!V37&gt;0,VLOOKUP('EAMD Scorecard'!V37,Calculation!$AG$3:$AI$11,3,FALSE),"")</f>
        <v/>
      </c>
      <c r="G50">
        <f>IF(AND('Diagram Data'!C50&gt;2,OR(E50=Calculation!$AJ$5,E50=Calculation!$AJ$6,E50=Calculation!$AJ$7,E50=Calculation!$AJ$8)),1,0)</f>
        <v>0</v>
      </c>
      <c r="H50">
        <f>IF(AND('Diagram Data'!D50&gt;2,OR(F50=Calculation!$AJ$5,F50=Calculation!$AJ$6,F50=Calculation!$AJ$7,F50=Calculation!$AJ$8)),1,0)</f>
        <v>0</v>
      </c>
    </row>
    <row r="51" spans="1:8" ht="25.5" x14ac:dyDescent="0.25">
      <c r="A51" s="363" t="s">
        <v>14</v>
      </c>
      <c r="B51" s="364" t="s">
        <v>158</v>
      </c>
      <c r="C51" t="str">
        <f>IF('EAMD Scorecard'!M38&gt;0,VLOOKUP('EAMD Scorecard'!M38,Calculation!AL$2:AM$11,2, FALSE),"")</f>
        <v/>
      </c>
      <c r="D51" t="str">
        <f>IF('EAMD Scorecard'!U38&gt;0,VLOOKUP('EAMD Scorecard'!U38,Calculation!AL$2:AM$11,2, FALSE),"")</f>
        <v/>
      </c>
      <c r="E51" s="11" t="str">
        <f>IF('EAMD Scorecard'!N38&gt;0,VLOOKUP('EAMD Scorecard'!N38,Calculation!$AG$3:$AI$11,3,FALSE),"")</f>
        <v/>
      </c>
      <c r="F51" s="11" t="str">
        <f>IF('EAMD Scorecard'!V38&gt;0,VLOOKUP('EAMD Scorecard'!V38,Calculation!$AG$3:$AI$11,3,FALSE),"")</f>
        <v/>
      </c>
      <c r="G51">
        <f>IF(AND('Diagram Data'!C51&gt;2,OR(E51=Calculation!$AJ$5,E51=Calculation!$AJ$6,E51=Calculation!$AJ$7,E51=Calculation!$AJ$8)),1,0)</f>
        <v>0</v>
      </c>
      <c r="H51">
        <f>IF(AND('Diagram Data'!D51&gt;2,OR(F51=Calculation!$AJ$5,F51=Calculation!$AJ$6,F51=Calculation!$AJ$7,F51=Calculation!$AJ$8)),1,0)</f>
        <v>0</v>
      </c>
    </row>
    <row r="52" spans="1:8" x14ac:dyDescent="0.25">
      <c r="A52" s="363" t="s">
        <v>15</v>
      </c>
      <c r="B52" s="364" t="s">
        <v>160</v>
      </c>
      <c r="C52" t="str">
        <f>IF('EAMD Scorecard'!M39&gt;0,VLOOKUP('EAMD Scorecard'!M39,Calculation!AL$2:AM$11,2, FALSE),"")</f>
        <v/>
      </c>
      <c r="D52" t="str">
        <f>IF('EAMD Scorecard'!U39&gt;0,VLOOKUP('EAMD Scorecard'!U39,Calculation!AL$2:AM$11,2, FALSE),"")</f>
        <v/>
      </c>
      <c r="E52" s="11" t="str">
        <f>IF('EAMD Scorecard'!N39&gt;0,VLOOKUP('EAMD Scorecard'!N39,Calculation!$AG$3:$AI$11,3,FALSE),"")</f>
        <v/>
      </c>
      <c r="F52" s="11" t="str">
        <f>IF('EAMD Scorecard'!V39&gt;0,VLOOKUP('EAMD Scorecard'!V39,Calculation!$AG$3:$AI$11,3,FALSE),"")</f>
        <v/>
      </c>
      <c r="G52">
        <f>IF(AND('Diagram Data'!C52&gt;2,OR(E52=Calculation!$AJ$5,E52=Calculation!$AJ$6,E52=Calculation!$AJ$7,E52=Calculation!$AJ$8)),1,0)</f>
        <v>0</v>
      </c>
      <c r="H52">
        <f>IF(AND('Diagram Data'!D52&gt;2,OR(F52=Calculation!$AJ$5,F52=Calculation!$AJ$6,F52=Calculation!$AJ$7,F52=Calculation!$AJ$8)),1,0)</f>
        <v>0</v>
      </c>
    </row>
    <row r="53" spans="1:8" ht="15.75" thickBot="1" x14ac:dyDescent="0.3">
      <c r="A53" s="345" t="s">
        <v>16</v>
      </c>
      <c r="B53" s="351" t="s">
        <v>162</v>
      </c>
      <c r="C53" t="str">
        <f>IF('EAMD Scorecard'!M40&gt;0,VLOOKUP('EAMD Scorecard'!M40,Calculation!AL$2:AM$11,2, FALSE),"")</f>
        <v/>
      </c>
      <c r="D53" t="str">
        <f>IF('EAMD Scorecard'!U40&gt;0,VLOOKUP('EAMD Scorecard'!U40,Calculation!AL$2:AM$11,2, FALSE),"")</f>
        <v/>
      </c>
      <c r="E53" s="11" t="str">
        <f>IF('EAMD Scorecard'!N40&gt;0,VLOOKUP('EAMD Scorecard'!N40,Calculation!$AG$3:$AI$11,3,FALSE),"")</f>
        <v/>
      </c>
      <c r="F53" s="11" t="str">
        <f>IF('EAMD Scorecard'!V40&gt;0,VLOOKUP('EAMD Scorecard'!V40,Calculation!$AG$3:$AI$11,3,FALSE),"")</f>
        <v/>
      </c>
      <c r="G53">
        <f>IF(AND('Diagram Data'!C53&gt;2,OR(E53=Calculation!$AJ$5,E53=Calculation!$AJ$6,E53=Calculation!$AJ$7,E53=Calculation!$AJ$8)),1,0)</f>
        <v>0</v>
      </c>
      <c r="H53">
        <f>IF(AND('Diagram Data'!D53&gt;2,OR(F53=Calculation!$AJ$5,F53=Calculation!$AJ$6,F53=Calculation!$AJ$7,F53=Calculation!$AJ$8)),1,0)</f>
        <v>0</v>
      </c>
    </row>
    <row r="54" spans="1:8" ht="15.75" thickTop="1" x14ac:dyDescent="0.25">
      <c r="A54" s="362"/>
      <c r="B54" s="352" t="s">
        <v>163</v>
      </c>
      <c r="C54" t="str">
        <f>IF('EAMD Scorecard'!M41&gt;0,VLOOKUP('EAMD Scorecard'!M41,Calculation!AL$2:AM$11,2, FALSE),"")</f>
        <v/>
      </c>
      <c r="D54" t="str">
        <f>IF('EAMD Scorecard'!U41&gt;0,VLOOKUP('EAMD Scorecard'!U41,Calculation!AL$2:AM$11,2, FALSE),"")</f>
        <v/>
      </c>
      <c r="E54" s="11" t="str">
        <f>IF('EAMD Scorecard'!N41&gt;0,VLOOKUP('EAMD Scorecard'!N41,Calculation!$AG$3:$AI$11,3,FALSE),"")</f>
        <v/>
      </c>
      <c r="F54" s="11" t="str">
        <f>IF('EAMD Scorecard'!V41&gt;0,VLOOKUP('EAMD Scorecard'!V41,Calculation!$AG$3:$AI$11,3,FALSE),"")</f>
        <v/>
      </c>
      <c r="G54">
        <f>IF(AND('Diagram Data'!C54&gt;2,OR(E54=Calculation!$AJ$5,E54=Calculation!$AJ$6,E54=Calculation!$AJ$7,E54=Calculation!$AJ$8)),1,0)</f>
        <v>0</v>
      </c>
      <c r="H54">
        <f>IF(AND('Diagram Data'!D54&gt;2,OR(F54=Calculation!$AJ$5,F54=Calculation!$AJ$6,F54=Calculation!$AJ$7,F54=Calculation!$AJ$8)),1,0)</f>
        <v>0</v>
      </c>
    </row>
    <row r="55" spans="1:8" ht="15.75" thickBot="1" x14ac:dyDescent="0.3">
      <c r="A55" s="345" t="s">
        <v>17</v>
      </c>
      <c r="B55" s="351" t="s">
        <v>165</v>
      </c>
      <c r="C55" t="str">
        <f>IF('EAMD Scorecard'!M42&gt;0,VLOOKUP('EAMD Scorecard'!M42,Calculation!AL$2:AM$11,2, FALSE),"")</f>
        <v/>
      </c>
      <c r="D55" t="str">
        <f>IF('EAMD Scorecard'!U42&gt;0,VLOOKUP('EAMD Scorecard'!U42,Calculation!AL$2:AM$11,2, FALSE),"")</f>
        <v/>
      </c>
      <c r="E55" s="11" t="str">
        <f>IF('EAMD Scorecard'!N42&gt;0,VLOOKUP('EAMD Scorecard'!N42,Calculation!$AG$3:$AI$11,3,FALSE),"")</f>
        <v/>
      </c>
      <c r="F55" s="11" t="str">
        <f>IF('EAMD Scorecard'!V42&gt;0,VLOOKUP('EAMD Scorecard'!V42,Calculation!$AG$3:$AI$11,3,FALSE),"")</f>
        <v/>
      </c>
      <c r="G55">
        <f>IF(AND('Diagram Data'!C55&gt;2,OR(E55=Calculation!$AJ$5,E55=Calculation!$AJ$6,E55=Calculation!$AJ$7,E55=Calculation!$AJ$8)),1,0)</f>
        <v>0</v>
      </c>
      <c r="H55">
        <f>IF(AND('Diagram Data'!D55&gt;2,OR(F55=Calculation!$AJ$5,F55=Calculation!$AJ$6,F55=Calculation!$AJ$7,F55=Calculation!$AJ$8)),1,0)</f>
        <v>0</v>
      </c>
    </row>
    <row r="56" spans="1:8" ht="15.75" thickTop="1" x14ac:dyDescent="0.25">
      <c r="A56" s="362"/>
      <c r="B56" s="352" t="s">
        <v>166</v>
      </c>
      <c r="C56" t="str">
        <f>IF('EAMD Scorecard'!M43&gt;0,VLOOKUP('EAMD Scorecard'!M43,Calculation!AL$2:AM$11,2, FALSE),"")</f>
        <v/>
      </c>
      <c r="D56" t="str">
        <f>IF('EAMD Scorecard'!U43&gt;0,VLOOKUP('EAMD Scorecard'!U43,Calculation!AL$2:AM$11,2, FALSE),"")</f>
        <v/>
      </c>
      <c r="E56" s="11" t="str">
        <f>IF('EAMD Scorecard'!N43&gt;0,VLOOKUP('EAMD Scorecard'!N43,Calculation!$AG$3:$AI$11,3,FALSE),"")</f>
        <v/>
      </c>
      <c r="F56" s="11" t="str">
        <f>IF('EAMD Scorecard'!V43&gt;0,VLOOKUP('EAMD Scorecard'!V43,Calculation!$AG$3:$AI$11,3,FALSE),"")</f>
        <v/>
      </c>
      <c r="G56">
        <f>IF(AND('Diagram Data'!C56&gt;2,OR(E56=Calculation!$AJ$5,E56=Calculation!$AJ$6,E56=Calculation!$AJ$7,E56=Calculation!$AJ$8)),1,0)</f>
        <v>0</v>
      </c>
      <c r="H56">
        <f>IF(AND('Diagram Data'!D56&gt;2,OR(F56=Calculation!$AJ$5,F56=Calculation!$AJ$6,F56=Calculation!$AJ$7,F56=Calculation!$AJ$8)),1,0)</f>
        <v>0</v>
      </c>
    </row>
    <row r="57" spans="1:8" ht="15.75" thickBot="1" x14ac:dyDescent="0.3">
      <c r="A57" s="368" t="s">
        <v>18</v>
      </c>
      <c r="B57" s="351" t="s">
        <v>168</v>
      </c>
      <c r="C57" t="str">
        <f>IF('EAMD Scorecard'!M44&gt;0,VLOOKUP('EAMD Scorecard'!M44,Calculation!AL$2:AM$11,2, FALSE),"")</f>
        <v/>
      </c>
      <c r="D57" t="str">
        <f>IF('EAMD Scorecard'!U44&gt;0,VLOOKUP('EAMD Scorecard'!U44,Calculation!AL$2:AM$11,2, FALSE),"")</f>
        <v/>
      </c>
      <c r="E57" s="11" t="str">
        <f>IF('EAMD Scorecard'!N44&gt;0,VLOOKUP('EAMD Scorecard'!N44,Calculation!$AG$3:$AI$11,3,FALSE),"")</f>
        <v/>
      </c>
      <c r="F57" s="11" t="str">
        <f>IF('EAMD Scorecard'!V44&gt;0,VLOOKUP('EAMD Scorecard'!V44,Calculation!$AG$3:$AI$11,3,FALSE),"")</f>
        <v/>
      </c>
      <c r="G57">
        <f>IF(AND('Diagram Data'!C57&gt;2,OR(E57=Calculation!$AJ$5,E57=Calculation!$AJ$6,E57=Calculation!$AJ$7,E57=Calculation!$AJ$8)),1,0)</f>
        <v>0</v>
      </c>
      <c r="H57">
        <f>IF(AND('Diagram Data'!D57&gt;2,OR(F57=Calculation!$AJ$5,F57=Calculation!$AJ$6,F57=Calculation!$AJ$7,F57=Calculation!$AJ$8)),1,0)</f>
        <v>0</v>
      </c>
    </row>
    <row r="58" spans="1:8" ht="16.5" thickTop="1" thickBot="1" x14ac:dyDescent="0.3">
      <c r="A58" s="394" t="s">
        <v>19</v>
      </c>
      <c r="B58" s="395" t="s">
        <v>169</v>
      </c>
      <c r="C58" s="371" t="str">
        <f>IF('EAMD Scorecard'!M45&gt;0,VLOOKUP('EAMD Scorecard'!M45,Calculation!AL$2:AM$11,2, FALSE),"")</f>
        <v/>
      </c>
      <c r="D58" s="97" t="str">
        <f>IF('EAMD Scorecard'!U45&gt;0,VLOOKUP('EAMD Scorecard'!U45,Calculation!AL$2:AM$11,2, FALSE),"")</f>
        <v/>
      </c>
      <c r="E58" s="402" t="str">
        <f>IF('EAMD Scorecard'!N45&gt;0,VLOOKUP('EAMD Scorecard'!N45,Calculation!$AG$3:$AI$11,3,FALSE),"")</f>
        <v/>
      </c>
      <c r="F58" s="402" t="str">
        <f>IF('EAMD Scorecard'!V45&gt;0,VLOOKUP('EAMD Scorecard'!V45,Calculation!$AG$3:$AI$11,3,FALSE),"")</f>
        <v/>
      </c>
      <c r="G58">
        <f>IF(AND('Diagram Data'!C58&gt;2,OR(E58=Calculation!$AJ$5,E58=Calculation!$AJ$6,E58=Calculation!$AJ$7,E58=Calculation!$AJ$8)),1,0)</f>
        <v>0</v>
      </c>
      <c r="H58">
        <f>IF(AND('Diagram Data'!D58&gt;2,OR(F58=Calculation!$AJ$5,F58=Calculation!$AJ$6,F58=Calculation!$AJ$7,F58=Calculation!$AJ$8)),1,0)</f>
        <v>0</v>
      </c>
    </row>
    <row r="59" spans="1:8" ht="15.75" thickBot="1" x14ac:dyDescent="0.3">
      <c r="A59" s="369" t="s">
        <v>46</v>
      </c>
      <c r="B59" s="370" t="s">
        <v>172</v>
      </c>
      <c r="C59" t="str">
        <f>IF('EAMD Scorecard'!M48&gt;0,VLOOKUP('EAMD Scorecard'!M48,Calculation!AL$2:AM$11,2, FALSE),"")</f>
        <v/>
      </c>
      <c r="D59" t="str">
        <f>IF('EAMD Scorecard'!U48&gt;0,VLOOKUP('EAMD Scorecard'!U48,Calculation!AL$2:AM$11,2, FALSE),"")</f>
        <v/>
      </c>
      <c r="E59" s="11" t="str">
        <f>IF('EAMD Scorecard'!N48&gt;0,VLOOKUP('EAMD Scorecard'!N48,Calculation!$AG$3:$AI$11,3,FALSE),"")</f>
        <v/>
      </c>
      <c r="F59" s="11" t="str">
        <f>IF('EAMD Scorecard'!V48&gt;0,VLOOKUP('EAMD Scorecard'!V48,Calculation!$AG$3:$AI$11,3,FALSE),"")</f>
        <v/>
      </c>
      <c r="G59">
        <f>IF(AND('Diagram Data'!C59&gt;2,OR(E59=Calculation!$AJ$5,E59=Calculation!$AJ$6,E59=Calculation!$AJ$7,E59=Calculation!$AJ$8)),1,0)</f>
        <v>0</v>
      </c>
      <c r="H59">
        <f>IF(AND('Diagram Data'!D59&gt;2,OR(F59=Calculation!$AJ$5,F59=Calculation!$AJ$6,F59=Calculation!$AJ$7,F59=Calculation!$AJ$8)),1,0)</f>
        <v>0</v>
      </c>
    </row>
    <row r="60" spans="1:8" ht="16.5" thickTop="1" thickBot="1" x14ac:dyDescent="0.3">
      <c r="A60" s="347" t="s">
        <v>47</v>
      </c>
      <c r="B60" s="355" t="s">
        <v>94</v>
      </c>
      <c r="C60" t="str">
        <f>IF('EAMD Scorecard'!M49&gt;0,VLOOKUP('EAMD Scorecard'!M49,Calculation!AL$2:AM$11,2, FALSE),"")</f>
        <v/>
      </c>
      <c r="D60" t="str">
        <f>IF('EAMD Scorecard'!U49&gt;0,VLOOKUP('EAMD Scorecard'!U49,Calculation!AL$2:AM$11,2, FALSE),"")</f>
        <v/>
      </c>
      <c r="E60" s="11" t="str">
        <f>IF('EAMD Scorecard'!N49&gt;0,VLOOKUP('EAMD Scorecard'!N49,Calculation!$AG$3:$AI$11,3,FALSE),"")</f>
        <v/>
      </c>
      <c r="F60" s="11" t="str">
        <f>IF('EAMD Scorecard'!V49&gt;0,VLOOKUP('EAMD Scorecard'!V49,Calculation!$AG$3:$AI$11,3,FALSE),"")</f>
        <v/>
      </c>
      <c r="G60">
        <f>IF(AND('Diagram Data'!C60&gt;2,OR(E60=Calculation!$AJ$5,E60=Calculation!$AJ$6,E60=Calculation!$AJ$7,E60=Calculation!$AJ$8)),1,0)</f>
        <v>0</v>
      </c>
      <c r="H60">
        <f>IF(AND('Diagram Data'!D60&gt;2,OR(F60=Calculation!$AJ$5,F60=Calculation!$AJ$6,F60=Calculation!$AJ$7,F60=Calculation!$AJ$8)),1,0)</f>
        <v>0</v>
      </c>
    </row>
    <row r="61" spans="1:8" ht="16.5" thickTop="1" thickBot="1" x14ac:dyDescent="0.3">
      <c r="A61" s="347" t="s">
        <v>48</v>
      </c>
      <c r="B61" s="355" t="s">
        <v>173</v>
      </c>
      <c r="C61" t="str">
        <f>IF('EAMD Scorecard'!M50&gt;0,VLOOKUP('EAMD Scorecard'!M50,Calculation!AL$2:AM$11,2, FALSE),"")</f>
        <v/>
      </c>
      <c r="D61" t="str">
        <f>IF('EAMD Scorecard'!U50&gt;0,VLOOKUP('EAMD Scorecard'!U50,Calculation!AL$2:AM$11,2, FALSE),"")</f>
        <v/>
      </c>
      <c r="E61" s="11" t="str">
        <f>IF('EAMD Scorecard'!N50&gt;0,VLOOKUP('EAMD Scorecard'!N50,Calculation!$AG$3:$AI$11,3,FALSE),"")</f>
        <v/>
      </c>
      <c r="F61" s="11" t="str">
        <f>IF('EAMD Scorecard'!V50&gt;0,VLOOKUP('EAMD Scorecard'!V50,Calculation!$AG$3:$AI$11,3,FALSE),"")</f>
        <v/>
      </c>
      <c r="G61">
        <f>IF(AND('Diagram Data'!C61&gt;2,OR(E61=Calculation!$AJ$5,E61=Calculation!$AJ$6,E61=Calculation!$AJ$7,E61=Calculation!$AJ$8)),1,0)</f>
        <v>0</v>
      </c>
      <c r="H61">
        <f>IF(AND('Diagram Data'!D61&gt;2,OR(F61=Calculation!$AJ$5,F61=Calculation!$AJ$6,F61=Calculation!$AJ$7,F61=Calculation!$AJ$8)),1,0)</f>
        <v>0</v>
      </c>
    </row>
    <row r="62" spans="1:8" ht="15.75" thickTop="1" x14ac:dyDescent="0.25">
      <c r="A62" s="362"/>
      <c r="B62" s="352" t="s">
        <v>174</v>
      </c>
      <c r="C62" t="str">
        <f>IF('EAMD Scorecard'!M51&gt;0,VLOOKUP('EAMD Scorecard'!M51,Calculation!AL$2:AM$11,2, FALSE),"")</f>
        <v/>
      </c>
      <c r="D62" t="str">
        <f>IF('EAMD Scorecard'!U51&gt;0,VLOOKUP('EAMD Scorecard'!U51,Calculation!AL$2:AM$11,2, FALSE),"")</f>
        <v/>
      </c>
      <c r="E62" s="11" t="str">
        <f>IF('EAMD Scorecard'!N51&gt;0,VLOOKUP('EAMD Scorecard'!N51,Calculation!$AG$3:$AI$11,3,FALSE),"")</f>
        <v/>
      </c>
      <c r="F62" s="11" t="str">
        <f>IF('EAMD Scorecard'!V51&gt;0,VLOOKUP('EAMD Scorecard'!V51,Calculation!$AG$3:$AI$11,3,FALSE),"")</f>
        <v/>
      </c>
      <c r="G62">
        <f>IF(AND('Diagram Data'!C62&gt;2,OR(E62=Calculation!$AJ$5,E62=Calculation!$AJ$6,E62=Calculation!$AJ$7,E62=Calculation!$AJ$8)),1,0)</f>
        <v>0</v>
      </c>
      <c r="H62">
        <f>IF(AND('Diagram Data'!D62&gt;2,OR(F62=Calculation!$AJ$5,F62=Calculation!$AJ$6,F62=Calculation!$AJ$7,F62=Calculation!$AJ$8)),1,0)</f>
        <v>0</v>
      </c>
    </row>
    <row r="63" spans="1:8" ht="15.75" thickBot="1" x14ac:dyDescent="0.3">
      <c r="A63" s="345" t="s">
        <v>49</v>
      </c>
      <c r="B63" s="351" t="s">
        <v>176</v>
      </c>
      <c r="C63" t="str">
        <f>IF('EAMD Scorecard'!M52&gt;0,VLOOKUP('EAMD Scorecard'!M52,Calculation!AL$2:AM$11,2, FALSE),"")</f>
        <v/>
      </c>
      <c r="D63" t="str">
        <f>IF('EAMD Scorecard'!U52&gt;0,VLOOKUP('EAMD Scorecard'!U52,Calculation!AL$2:AM$11,2, FALSE),"")</f>
        <v/>
      </c>
      <c r="E63" s="11" t="str">
        <f>IF('EAMD Scorecard'!N52&gt;0,VLOOKUP('EAMD Scorecard'!N52,Calculation!$AG$3:$AI$11,3,FALSE),"")</f>
        <v/>
      </c>
      <c r="F63" s="11" t="str">
        <f>IF('EAMD Scorecard'!V52&gt;0,VLOOKUP('EAMD Scorecard'!V52,Calculation!$AG$3:$AI$11,3,FALSE),"")</f>
        <v/>
      </c>
      <c r="G63">
        <f>IF(AND('Diagram Data'!C63&gt;2,OR(E63=Calculation!$AJ$5,E63=Calculation!$AJ$6,E63=Calculation!$AJ$7,E63=Calculation!$AJ$8)),1,0)</f>
        <v>0</v>
      </c>
      <c r="H63">
        <f>IF(AND('Diagram Data'!D63&gt;2,OR(F63=Calculation!$AJ$5,F63=Calculation!$AJ$6,F63=Calculation!$AJ$7,F63=Calculation!$AJ$8)),1,0)</f>
        <v>0</v>
      </c>
    </row>
    <row r="64" spans="1:8" ht="27" thickTop="1" thickBot="1" x14ac:dyDescent="0.3">
      <c r="A64" s="347" t="s">
        <v>50</v>
      </c>
      <c r="B64" s="355" t="s">
        <v>177</v>
      </c>
      <c r="C64" t="str">
        <f>IF('EAMD Scorecard'!M53&gt;0,VLOOKUP('EAMD Scorecard'!M53,Calculation!AL$2:AM$11,2, FALSE),"")</f>
        <v/>
      </c>
      <c r="D64" t="str">
        <f>IF('EAMD Scorecard'!U53&gt;0,VLOOKUP('EAMD Scorecard'!U53,Calculation!AL$2:AM$11,2, FALSE),"")</f>
        <v/>
      </c>
      <c r="E64" s="11" t="str">
        <f>IF('EAMD Scorecard'!N53&gt;0,VLOOKUP('EAMD Scorecard'!N53,Calculation!$AG$3:$AI$11,3,FALSE),"")</f>
        <v/>
      </c>
      <c r="F64" s="11" t="str">
        <f>IF('EAMD Scorecard'!V53&gt;0,VLOOKUP('EAMD Scorecard'!V53,Calculation!$AG$3:$AI$11,3,FALSE),"")</f>
        <v/>
      </c>
      <c r="G64">
        <f>IF(AND('Diagram Data'!C64&gt;2,OR(E64=Calculation!$AJ$5,E64=Calculation!$AJ$6,E64=Calculation!$AJ$7,E64=Calculation!$AJ$8)),1,0)</f>
        <v>0</v>
      </c>
      <c r="H64">
        <f>IF(AND('Diagram Data'!D64&gt;2,OR(F64=Calculation!$AJ$5,F64=Calculation!$AJ$6,F64=Calculation!$AJ$7,F64=Calculation!$AJ$8)),1,0)</f>
        <v>0</v>
      </c>
    </row>
    <row r="65" spans="1:8" ht="26.25" thickTop="1" x14ac:dyDescent="0.25">
      <c r="A65" s="349" t="s">
        <v>51</v>
      </c>
      <c r="B65" s="352" t="s">
        <v>178</v>
      </c>
      <c r="C65" t="str">
        <f>IF('EAMD Scorecard'!M54&gt;0,VLOOKUP('EAMD Scorecard'!M54,Calculation!AL$2:AM$11,2, FALSE),"")</f>
        <v/>
      </c>
      <c r="D65" t="str">
        <f>IF('EAMD Scorecard'!U54&gt;0,VLOOKUP('EAMD Scorecard'!U54,Calculation!AL$2:AM$11,2, FALSE),"")</f>
        <v/>
      </c>
      <c r="E65" s="11" t="str">
        <f>IF('EAMD Scorecard'!N54&gt;0,VLOOKUP('EAMD Scorecard'!N54,Calculation!$AG$3:$AI$11,3,FALSE),"")</f>
        <v/>
      </c>
      <c r="F65" s="11" t="str">
        <f>IF('EAMD Scorecard'!V54&gt;0,VLOOKUP('EAMD Scorecard'!V54,Calculation!$AG$3:$AI$11,3,FALSE),"")</f>
        <v/>
      </c>
      <c r="G65">
        <f>IF(AND('Diagram Data'!C65&gt;2,OR(E65=Calculation!$AJ$5,E65=Calculation!$AJ$6,E65=Calculation!$AJ$7,E65=Calculation!$AJ$8)),1,0)</f>
        <v>0</v>
      </c>
      <c r="H65">
        <f>IF(AND('Diagram Data'!D65&gt;2,OR(F65=Calculation!$AJ$5,F65=Calculation!$AJ$6,F65=Calculation!$AJ$7,F65=Calculation!$AJ$8)),1,0)</f>
        <v>0</v>
      </c>
    </row>
    <row r="66" spans="1:8" ht="26.25" thickBot="1" x14ac:dyDescent="0.3">
      <c r="A66" s="345" t="s">
        <v>52</v>
      </c>
      <c r="B66" s="351" t="s">
        <v>180</v>
      </c>
      <c r="C66" t="str">
        <f>IF('EAMD Scorecard'!M55&gt;0,VLOOKUP('EAMD Scorecard'!M55,Calculation!AL$2:AM$11,2, FALSE),"")</f>
        <v/>
      </c>
      <c r="D66" t="str">
        <f>IF('EAMD Scorecard'!U55&gt;0,VLOOKUP('EAMD Scorecard'!U55,Calculation!AL$2:AM$11,2, FALSE),"")</f>
        <v/>
      </c>
      <c r="E66" s="11" t="str">
        <f>IF('EAMD Scorecard'!N55&gt;0,VLOOKUP('EAMD Scorecard'!N55,Calculation!$AG$3:$AI$11,3,FALSE),"")</f>
        <v/>
      </c>
      <c r="F66" s="11" t="str">
        <f>IF('EAMD Scorecard'!V55&gt;0,VLOOKUP('EAMD Scorecard'!V55,Calculation!$AG$3:$AI$11,3,FALSE),"")</f>
        <v/>
      </c>
      <c r="G66">
        <f>IF(AND('Diagram Data'!C66&gt;2,OR(E66=Calculation!$AJ$5,E66=Calculation!$AJ$6,E66=Calculation!$AJ$7,E66=Calculation!$AJ$8)),1,0)</f>
        <v>0</v>
      </c>
      <c r="H66">
        <f>IF(AND('Diagram Data'!D66&gt;2,OR(F66=Calculation!$AJ$5,F66=Calculation!$AJ$6,F66=Calculation!$AJ$7,F66=Calculation!$AJ$8)),1,0)</f>
        <v>0</v>
      </c>
    </row>
    <row r="67" spans="1:8" ht="15.75" thickTop="1" x14ac:dyDescent="0.25">
      <c r="A67" s="349" t="s">
        <v>53</v>
      </c>
      <c r="B67" s="352" t="s">
        <v>181</v>
      </c>
      <c r="C67" t="str">
        <f>IF('EAMD Scorecard'!M56&gt;0,VLOOKUP('EAMD Scorecard'!M56,Calculation!AL$2:AM$11,2, FALSE),"")</f>
        <v/>
      </c>
      <c r="D67" t="str">
        <f>IF('EAMD Scorecard'!U56&gt;0,VLOOKUP('EAMD Scorecard'!U56,Calculation!AL$2:AM$11,2, FALSE),"")</f>
        <v/>
      </c>
      <c r="E67" s="11" t="str">
        <f>IF('EAMD Scorecard'!N56&gt;0,VLOOKUP('EAMD Scorecard'!N56,Calculation!$AG$3:$AI$11,3,FALSE),"")</f>
        <v/>
      </c>
      <c r="F67" s="11" t="str">
        <f>IF('EAMD Scorecard'!V56&gt;0,VLOOKUP('EAMD Scorecard'!V56,Calculation!$AG$3:$AI$11,3,FALSE),"")</f>
        <v/>
      </c>
      <c r="G67">
        <f>IF(AND('Diagram Data'!C67&gt;2,OR(E67=Calculation!$AJ$5,E67=Calculation!$AJ$6,E67=Calculation!$AJ$7,E67=Calculation!$AJ$8)),1,0)</f>
        <v>0</v>
      </c>
      <c r="H67">
        <f>IF(AND('Diagram Data'!D67&gt;2,OR(F67=Calculation!$AJ$5,F67=Calculation!$AJ$6,F67=Calculation!$AJ$7,F67=Calculation!$AJ$8)),1,0)</f>
        <v>0</v>
      </c>
    </row>
    <row r="68" spans="1:8" ht="15.75" thickBot="1" x14ac:dyDescent="0.3">
      <c r="A68" s="345" t="s">
        <v>54</v>
      </c>
      <c r="B68" s="351" t="s">
        <v>183</v>
      </c>
      <c r="C68" t="str">
        <f>IF('EAMD Scorecard'!M57&gt;0,VLOOKUP('EAMD Scorecard'!M57,Calculation!AL$2:AM$11,2, FALSE),"")</f>
        <v/>
      </c>
      <c r="D68" t="str">
        <f>IF('EAMD Scorecard'!U57&gt;0,VLOOKUP('EAMD Scorecard'!U57,Calculation!AL$2:AM$11,2, FALSE),"")</f>
        <v/>
      </c>
      <c r="E68" s="11" t="str">
        <f>IF('EAMD Scorecard'!N57&gt;0,VLOOKUP('EAMD Scorecard'!N57,Calculation!$AG$3:$AI$11,3,FALSE),"")</f>
        <v/>
      </c>
      <c r="F68" s="11" t="str">
        <f>IF('EAMD Scorecard'!V57&gt;0,VLOOKUP('EAMD Scorecard'!V57,Calculation!$AG$3:$AI$11,3,FALSE),"")</f>
        <v/>
      </c>
      <c r="G68">
        <f>IF(AND('Diagram Data'!C68&gt;2,OR(E68=Calculation!$AJ$5,E68=Calculation!$AJ$6,E68=Calculation!$AJ$7,E68=Calculation!$AJ$8)),1,0)</f>
        <v>0</v>
      </c>
      <c r="H68">
        <f>IF(AND('Diagram Data'!D68&gt;2,OR(F68=Calculation!$AJ$5,F68=Calculation!$AJ$6,F68=Calculation!$AJ$7,F68=Calculation!$AJ$8)),1,0)</f>
        <v>0</v>
      </c>
    </row>
    <row r="69" spans="1:8" ht="27" thickTop="1" thickBot="1" x14ac:dyDescent="0.3">
      <c r="A69" s="347" t="s">
        <v>55</v>
      </c>
      <c r="B69" s="355" t="s">
        <v>184</v>
      </c>
      <c r="C69" t="str">
        <f>IF('EAMD Scorecard'!M58&gt;0,VLOOKUP('EAMD Scorecard'!M58,Calculation!AL$2:AM$11,2, FALSE),"")</f>
        <v/>
      </c>
      <c r="D69" t="str">
        <f>IF('EAMD Scorecard'!U58&gt;0,VLOOKUP('EAMD Scorecard'!U58,Calculation!AL$2:AM$11,2, FALSE),"")</f>
        <v/>
      </c>
      <c r="E69" s="11" t="str">
        <f>IF('EAMD Scorecard'!N58&gt;0,VLOOKUP('EAMD Scorecard'!N58,Calculation!$AG$3:$AI$11,3,FALSE),"")</f>
        <v/>
      </c>
      <c r="F69" s="11" t="str">
        <f>IF('EAMD Scorecard'!V58&gt;0,VLOOKUP('EAMD Scorecard'!V58,Calculation!$AG$3:$AI$11,3,FALSE),"")</f>
        <v/>
      </c>
      <c r="G69">
        <f>IF(AND('Diagram Data'!C69&gt;2,OR(E69=Calculation!$AJ$5,E69=Calculation!$AJ$6,E69=Calculation!$AJ$7,E69=Calculation!$AJ$8)),1,0)</f>
        <v>0</v>
      </c>
      <c r="H69">
        <f>IF(AND('Diagram Data'!D69&gt;2,OR(F69=Calculation!$AJ$5,F69=Calculation!$AJ$6,F69=Calculation!$AJ$7,F69=Calculation!$AJ$8)),1,0)</f>
        <v>0</v>
      </c>
    </row>
    <row r="70" spans="1:8" ht="15.75" thickTop="1" x14ac:dyDescent="0.25">
      <c r="A70" s="349" t="s">
        <v>56</v>
      </c>
      <c r="B70" s="352" t="s">
        <v>185</v>
      </c>
      <c r="C70" t="str">
        <f>IF('EAMD Scorecard'!M59&gt;0,VLOOKUP('EAMD Scorecard'!M59,Calculation!AL$2:AM$11,2, FALSE),"")</f>
        <v/>
      </c>
      <c r="D70" t="str">
        <f>IF('EAMD Scorecard'!U59&gt;0,VLOOKUP('EAMD Scorecard'!U59,Calculation!AL$2:AM$11,2, FALSE),"")</f>
        <v/>
      </c>
      <c r="E70" s="11" t="str">
        <f>IF('EAMD Scorecard'!N59&gt;0,VLOOKUP('EAMD Scorecard'!N59,Calculation!$AG$3:$AI$11,3,FALSE),"")</f>
        <v/>
      </c>
      <c r="F70" s="11" t="str">
        <f>IF('EAMD Scorecard'!V59&gt;0,VLOOKUP('EAMD Scorecard'!V59,Calculation!$AG$3:$AI$11,3,FALSE),"")</f>
        <v/>
      </c>
      <c r="G70">
        <f>IF(AND('Diagram Data'!C70&gt;2,OR(E70=Calculation!$AJ$5,E70=Calculation!$AJ$6,E70=Calculation!$AJ$7,E70=Calculation!$AJ$8)),1,0)</f>
        <v>0</v>
      </c>
      <c r="H70">
        <f>IF(AND('Diagram Data'!D70&gt;2,OR(F70=Calculation!$AJ$5,F70=Calculation!$AJ$6,F70=Calculation!$AJ$7,F70=Calculation!$AJ$8)),1,0)</f>
        <v>0</v>
      </c>
    </row>
    <row r="71" spans="1:8" ht="15.75" thickBot="1" x14ac:dyDescent="0.3">
      <c r="A71" s="369" t="s">
        <v>57</v>
      </c>
      <c r="B71" s="370" t="s">
        <v>187</v>
      </c>
      <c r="C71" t="str">
        <f>IF('EAMD Scorecard'!M60&gt;0,VLOOKUP('EAMD Scorecard'!M60,Calculation!AL$2:AM$11,2, FALSE),"")</f>
        <v/>
      </c>
      <c r="D71" t="str">
        <f>IF('EAMD Scorecard'!U60&gt;0,VLOOKUP('EAMD Scorecard'!U60,Calculation!AL$2:AM$11,2, FALSE),"")</f>
        <v/>
      </c>
      <c r="E71" s="11" t="str">
        <f>IF('EAMD Scorecard'!N60&gt;0,VLOOKUP('EAMD Scorecard'!N60,Calculation!$AG$3:$AI$11,3,FALSE),"")</f>
        <v/>
      </c>
      <c r="F71" s="11" t="str">
        <f>IF('EAMD Scorecard'!V60&gt;0,VLOOKUP('EAMD Scorecard'!V60,Calculation!$AG$3:$AI$11,3,FALSE),"")</f>
        <v/>
      </c>
      <c r="G71">
        <f>IF(AND('Diagram Data'!C71&gt;2,OR(E71=Calculation!$AJ$5,E71=Calculation!$AJ$6,E71=Calculation!$AJ$7,E71=Calculation!$AJ$8)),1,0)</f>
        <v>0</v>
      </c>
      <c r="H71">
        <f>IF(AND('Diagram Data'!D71&gt;2,OR(F71=Calculation!$AJ$5,F71=Calculation!$AJ$6,F71=Calculation!$AJ$7,F71=Calculation!$AJ$8)),1,0)</f>
        <v>0</v>
      </c>
    </row>
    <row r="72" spans="1:8" ht="16.5" thickTop="1" thickBot="1" x14ac:dyDescent="0.3">
      <c r="A72" s="357" t="s">
        <v>58</v>
      </c>
      <c r="B72" s="348" t="s">
        <v>188</v>
      </c>
      <c r="C72" t="str">
        <f>IF('EAMD Scorecard'!M61&gt;0,VLOOKUP('EAMD Scorecard'!M61,Calculation!AL$2:AM$11,2, FALSE),"")</f>
        <v/>
      </c>
      <c r="D72" t="str">
        <f>IF('EAMD Scorecard'!U61&gt;0,VLOOKUP('EAMD Scorecard'!U61,Calculation!AL$2:AM$11,2, FALSE),"")</f>
        <v/>
      </c>
      <c r="E72" s="11" t="str">
        <f>IF('EAMD Scorecard'!N61&gt;0,VLOOKUP('EAMD Scorecard'!N61,Calculation!$AG$3:$AI$11,3,FALSE),"")</f>
        <v/>
      </c>
      <c r="F72" s="11" t="str">
        <f>IF('EAMD Scorecard'!V61&gt;0,VLOOKUP('EAMD Scorecard'!V61,Calculation!$AG$3:$AI$11,3,FALSE),"")</f>
        <v/>
      </c>
      <c r="G72">
        <f>IF(AND('Diagram Data'!C72&gt;2,OR(E72=Calculation!$AJ$5,E72=Calculation!$AJ$6,E72=Calculation!$AJ$7,E72=Calculation!$AJ$8)),1,0)</f>
        <v>0</v>
      </c>
      <c r="H72">
        <f>IF(AND('Diagram Data'!D72&gt;2,OR(F72=Calculation!$AJ$5,F72=Calculation!$AJ$6,F72=Calculation!$AJ$7,F72=Calculation!$AJ$8)),1,0)</f>
        <v>0</v>
      </c>
    </row>
    <row r="73" spans="1:8" ht="16.5" thickTop="1" thickBot="1" x14ac:dyDescent="0.3">
      <c r="A73" s="392" t="s">
        <v>59</v>
      </c>
      <c r="B73" s="393" t="s">
        <v>189</v>
      </c>
      <c r="C73" s="97" t="str">
        <f>IF('EAMD Scorecard'!M62&gt;0,VLOOKUP('EAMD Scorecard'!M62,Calculation!AL$2:AM$11,2, FALSE),"")</f>
        <v/>
      </c>
      <c r="D73" s="97" t="str">
        <f>IF('EAMD Scorecard'!U62&gt;0,VLOOKUP('EAMD Scorecard'!U62,Calculation!AL$2:AM$11,2, FALSE),"")</f>
        <v/>
      </c>
      <c r="E73" s="402" t="str">
        <f>IF('EAMD Scorecard'!N62&gt;0,VLOOKUP('EAMD Scorecard'!N62,Calculation!$AG$3:$AI$11,3,FALSE),"")</f>
        <v/>
      </c>
      <c r="F73" s="402" t="str">
        <f>IF('EAMD Scorecard'!V62&gt;0,VLOOKUP('EAMD Scorecard'!V62,Calculation!$AG$3:$AI$11,3,FALSE),"")</f>
        <v/>
      </c>
      <c r="G73">
        <f>IF(AND('Diagram Data'!C73&gt;2,OR(E73=Calculation!$AJ$5,E73=Calculation!$AJ$6,E73=Calculation!$AJ$7,E73=Calculation!$AJ$8)),1,0)</f>
        <v>0</v>
      </c>
      <c r="H73">
        <f>IF(AND('Diagram Data'!D73&gt;2,OR(F73=Calculation!$AJ$5,F73=Calculation!$AJ$6,F73=Calculation!$AJ$7,F73=Calculation!$AJ$8)),1,0)</f>
        <v>0</v>
      </c>
    </row>
    <row r="74" spans="1:8" ht="26.25" thickBot="1" x14ac:dyDescent="0.3">
      <c r="A74" s="389" t="s">
        <v>20</v>
      </c>
      <c r="B74" s="390" t="s">
        <v>695</v>
      </c>
      <c r="C74" s="391" t="str">
        <f>IF('EAMD Scorecard'!M64&gt;0,VLOOKUP('EAMD Scorecard'!M64,Calculation!AL$2:AM$11,2, FALSE),"")</f>
        <v/>
      </c>
      <c r="D74" t="str">
        <f>IF('EAMD Scorecard'!U64&gt;0,VLOOKUP('EAMD Scorecard'!U64,Calculation!AL$2:AM$11,2, FALSE),"")</f>
        <v/>
      </c>
      <c r="E74" s="11" t="str">
        <f>IF('EAMD Scorecard'!N64&gt;0,VLOOKUP('EAMD Scorecard'!N64,Calculation!$AG$3:$AI$11,3,FALSE),"")</f>
        <v/>
      </c>
      <c r="F74" s="11" t="str">
        <f>IF('EAMD Scorecard'!V64&gt;0,VLOOKUP('EAMD Scorecard'!V64,Calculation!$AG$3:$AI$11,3,FALSE),"")</f>
        <v/>
      </c>
      <c r="G74">
        <f>IF(AND('Diagram Data'!C74&gt;2,OR(E74=Calculation!$AJ$5,E74=Calculation!$AJ$6,E74=Calculation!$AJ$7,E74=Calculation!$AJ$8)),1,0)</f>
        <v>0</v>
      </c>
      <c r="H74">
        <f>IF(AND('Diagram Data'!D74&gt;2,OR(F74=Calculation!$AJ$5,F74=Calculation!$AJ$6,F74=Calculation!$AJ$7,F74=Calculation!$AJ$8)),1,0)</f>
        <v>0</v>
      </c>
    </row>
    <row r="75" spans="1:8" ht="26.25" thickBot="1" x14ac:dyDescent="0.3">
      <c r="A75" s="388" t="s">
        <v>21</v>
      </c>
      <c r="B75" s="387" t="s">
        <v>685</v>
      </c>
      <c r="C75" t="str">
        <f>IF('EAMD Scorecard'!M65&gt;0,VLOOKUP('EAMD Scorecard'!M65,Calculation!AL$2:AM$11,2, FALSE),"")</f>
        <v/>
      </c>
      <c r="D75" t="str">
        <f>IF('EAMD Scorecard'!U65&gt;0,VLOOKUP('EAMD Scorecard'!U65,Calculation!AL$2:AM$11,2, FALSE),"")</f>
        <v/>
      </c>
      <c r="E75" s="11" t="str">
        <f>IF('EAMD Scorecard'!N65&gt;0,VLOOKUP('EAMD Scorecard'!N65,Calculation!$AG$3:$AI$11,3,FALSE),"")</f>
        <v/>
      </c>
      <c r="F75" s="11" t="str">
        <f>IF('EAMD Scorecard'!V65&gt;0,VLOOKUP('EAMD Scorecard'!V65,Calculation!$AG$3:$AI$11,3,FALSE),"")</f>
        <v/>
      </c>
      <c r="G75">
        <f>IF(AND('Diagram Data'!C75&gt;2,OR(E75=Calculation!$AJ$5,E75=Calculation!$AJ$6,E75=Calculation!$AJ$7,E75=Calculation!$AJ$8)),1,0)</f>
        <v>0</v>
      </c>
      <c r="H75">
        <f>IF(AND('Diagram Data'!D75&gt;2,OR(F75=Calculation!$AJ$5,F75=Calculation!$AJ$6,F75=Calculation!$AJ$7,F75=Calculation!$AJ$8)),1,0)</f>
        <v>0</v>
      </c>
    </row>
  </sheetData>
  <sheetProtection algorithmName="SHA-512" hashValue="8vGsfBBuOGVqVjOtHb7t0suxRyH4EpvbajB8lo7CcZx/SgzCvcz5wTwmjeP/IFfrRXnIxFS93YVve/ZYvz7a0A==" saltValue="qZt+hU7WLUiyzen6tcDQeg==" spinCount="100000" sheet="1" objects="1" scenarios="1"/>
  <mergeCells count="6">
    <mergeCell ref="D1:F1"/>
    <mergeCell ref="AC1:AE1"/>
    <mergeCell ref="AF1:AH1"/>
    <mergeCell ref="AI1:AK1"/>
    <mergeCell ref="J1:L1"/>
    <mergeCell ref="G1:I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95605-D926-4328-8E5A-2963C9669EC7}">
  <sheetPr codeName="Ark2">
    <tabColor theme="3" tint="0.59999389629810485"/>
    <pageSetUpPr fitToPage="1"/>
  </sheetPr>
  <dimension ref="A1:J763"/>
  <sheetViews>
    <sheetView showGridLines="0" zoomScale="90" zoomScaleNormal="90" workbookViewId="0">
      <selection activeCell="C9" sqref="C9"/>
    </sheetView>
  </sheetViews>
  <sheetFormatPr defaultColWidth="11.42578125" defaultRowHeight="26.25" x14ac:dyDescent="0.25"/>
  <cols>
    <col min="1" max="1" width="2.42578125" customWidth="1"/>
    <col min="2" max="2" width="34.42578125" style="51" customWidth="1"/>
    <col min="3" max="3" width="35.28515625" style="32" customWidth="1"/>
    <col min="4" max="4" width="49.85546875" style="32" customWidth="1"/>
    <col min="5" max="5" width="77.140625" style="32" customWidth="1"/>
    <col min="6" max="6" width="3.5703125" style="32" customWidth="1"/>
    <col min="7" max="7" width="56.28515625" style="32" customWidth="1"/>
    <col min="8" max="8" width="3.5703125" style="32" customWidth="1"/>
    <col min="9" max="16384" width="11.42578125" style="32"/>
  </cols>
  <sheetData>
    <row r="1" spans="1:10" ht="9" customHeight="1" thickBot="1" x14ac:dyDescent="0.3">
      <c r="A1" s="246"/>
      <c r="B1" s="247"/>
      <c r="C1" s="244"/>
      <c r="D1" s="244"/>
      <c r="E1" s="244"/>
      <c r="F1" s="244"/>
      <c r="G1" s="244"/>
      <c r="H1" s="244"/>
    </row>
    <row r="2" spans="1:10" ht="20.100000000000001" customHeight="1" thickBot="1" x14ac:dyDescent="0.35">
      <c r="A2" s="246"/>
      <c r="B2" s="317" t="str">
        <f>VLOOKUP("Language",Labels!$A$1:$C$1001,IF(LanguageSelection="FR",3,2),FALSE)</f>
        <v>Language</v>
      </c>
      <c r="C2" s="309" t="s">
        <v>3</v>
      </c>
      <c r="D2" s="244"/>
      <c r="E2" s="244"/>
      <c r="F2" s="244"/>
      <c r="G2" s="244"/>
      <c r="H2" s="244"/>
    </row>
    <row r="3" spans="1:10" ht="11.25" customHeight="1" thickBot="1" x14ac:dyDescent="0.3">
      <c r="A3" s="246"/>
      <c r="B3" s="247"/>
      <c r="C3" s="244"/>
      <c r="D3" s="244"/>
      <c r="E3" s="244"/>
      <c r="F3" s="244"/>
      <c r="G3" s="244"/>
      <c r="H3" s="244"/>
    </row>
    <row r="4" spans="1:10" ht="33" thickTop="1" thickBot="1" x14ac:dyDescent="0.55000000000000004">
      <c r="A4" s="246"/>
      <c r="B4" s="479" t="str">
        <f>VLOOKUP("Boundaries and Process",Labels!$A$1:$C$1001,IF(LanguageSelection="FR",3,2),FALSE)</f>
        <v>Market Scoring Boundaries and Process</v>
      </c>
      <c r="C4" s="479"/>
      <c r="D4" s="479"/>
      <c r="E4" s="479"/>
      <c r="F4" s="244"/>
      <c r="G4" s="248" t="str">
        <f>VLOOKUP("Guide",Labels!$A$1:$C$1001,IF(LanguageSelection="FR",3,2),FALSE)</f>
        <v>Guide</v>
      </c>
      <c r="H4" s="245"/>
      <c r="I4" s="290"/>
      <c r="J4" s="290"/>
    </row>
    <row r="5" spans="1:10" ht="54" customHeight="1" thickTop="1" thickBot="1" x14ac:dyDescent="0.3">
      <c r="A5" s="246"/>
      <c r="B5" s="60" t="str">
        <f>VLOOKUP("Country",Labels!$A$1:$C$3,IF(LanguageSelection="FR",3,2),FALSE)</f>
        <v>Country</v>
      </c>
      <c r="C5" s="240"/>
      <c r="D5" s="62" t="str">
        <f>VLOOKUP("Geographical boundaries",Labels!$A$1:$C$1001,IF(LanguageSelection="FR",3,2),FALSE)</f>
        <v>Geographical boundaries</v>
      </c>
      <c r="E5" s="310"/>
      <c r="F5" s="244"/>
      <c r="G5" s="243" t="str">
        <f>VLOOKUP("Boundaries and Process Guide - country",Labels!$A$1:$C$1001,IF(LanguageSelection="FR",3,2),FALSE)</f>
        <v>Indicate country and, if relevant, describe geographic boundaries of the assessment (eg. if only certain regions or provinces are assessed).</v>
      </c>
      <c r="H5" s="244"/>
    </row>
    <row r="6" spans="1:10" ht="63.6" customHeight="1" thickTop="1" thickBot="1" x14ac:dyDescent="0.3">
      <c r="A6" s="246"/>
      <c r="B6" s="62" t="str">
        <f>_xlfn.CONCAT(VLOOKUP("Technology",Labels!$A$1:$C$1001,IF(LanguageSelection="FR",3,2),FALSE),CHAR(10)," (",VLOOKUP("Select from the drop-down list",Labels!$A$1:$C$1001,IF(LanguageSelection="FR",3,2),FALSE),")")</f>
        <v>Technology
 (Select from the drop-down list)</v>
      </c>
      <c r="C6" s="61" t="s">
        <v>440</v>
      </c>
      <c r="D6" s="62" t="str">
        <f>VLOOKUP("Technological boundaries",Labels!$A$1:$C$1001,IF(LanguageSelection="FR",3,2),FALSE)</f>
        <v>Technological boundaries</v>
      </c>
      <c r="E6" s="310"/>
      <c r="F6" s="246"/>
      <c r="G6" s="243" t="str">
        <f>VLOOKUP("Boundaries and Process Guide - technology",Labels!$A$1:$C$1001,IF(LanguageSelection="FR",3,2),FALSE)</f>
        <v>Select technology from the drop-down list, and, if relevant, describe technological boundaries of the assessment: For instance if only products of specific tiers or of certain types are assessed</v>
      </c>
      <c r="H6" s="244"/>
    </row>
    <row r="7" spans="1:10" ht="50.25" customHeight="1" thickTop="1" thickBot="1" x14ac:dyDescent="0.3">
      <c r="A7" s="246"/>
      <c r="B7" s="62"/>
      <c r="C7" s="242"/>
      <c r="D7" s="62" t="str">
        <f>VLOOKUP("Target group boundaries",Labels!$A$1:$C$1001,IF(LanguageSelection="FR",3,2),FALSE)</f>
        <v>Target group boundaries</v>
      </c>
      <c r="E7" s="310"/>
      <c r="F7" s="246"/>
      <c r="G7" s="243" t="str">
        <f>VLOOKUP("Boundaries and Process Guide - boundaries",Labels!$A$1:$C$1001,IF(LanguageSelection="FR",3,2),FALSE)</f>
        <v>Indicate, if relevant, boundaires concerning the target group (HH, SI, MSME/PU, Refugee etc.)</v>
      </c>
      <c r="H7" s="244"/>
    </row>
    <row r="8" spans="1:10" ht="37.5" customHeight="1" thickTop="1" thickBot="1" x14ac:dyDescent="0.25">
      <c r="A8" s="244"/>
      <c r="B8" s="60" t="str">
        <f>VLOOKUP("Year",Labels!$A$1:$C$501,IF(LanguageSelection="FR",3,2),FALSE)</f>
        <v>Year</v>
      </c>
      <c r="C8" s="240">
        <v>2024</v>
      </c>
      <c r="D8" s="62" t="str">
        <f>VLOOKUP("When was this assessment done?",Labels!$A$1:$C$1001,IF(LanguageSelection="FR",3,2),FALSE)</f>
        <v>When was this assessment done?</v>
      </c>
      <c r="E8" s="310"/>
      <c r="F8" s="244"/>
      <c r="G8" s="243" t="str">
        <f>VLOOKUP("Boundaries and Process Guide - year",Labels!$A$1:$C$1001,IF(LanguageSelection="FR",3,2),FALSE)</f>
        <v>Indicate year of the assessment and when the assessment was done</v>
      </c>
      <c r="H8" s="244"/>
    </row>
    <row r="9" spans="1:10" ht="61.9" customHeight="1" thickTop="1" thickBot="1" x14ac:dyDescent="0.25">
      <c r="A9" s="244"/>
      <c r="B9" s="60" t="str">
        <f>VLOOKUP("Who is scoring?",Labels!$A$1:$C$1001,IF(LanguageSelection="FR",3,2),FALSE)</f>
        <v>Who is scoring?</v>
      </c>
      <c r="C9" s="240"/>
      <c r="D9" s="313" t="str">
        <f>VLOOKUP("Describe in a few words how the scoring was done",Labels!$A$1:$C$1001,IF(LanguageSelection="FR",3,2),FALSE)</f>
        <v>Describe in a few words how the scoring was done</v>
      </c>
      <c r="E9" s="314"/>
      <c r="F9" s="244"/>
      <c r="G9" s="243" t="str">
        <f>VLOOKUP("Boundaries and Process Guide - organisation",Labels!$A$1:$C$1001,IF(LanguageSelection="FR",3,2),FALSE)</f>
        <v>Indicate name of the organisation performing the assessment and,  briefly, the methods used (extent of literature use, interviews, workshops, and own assessment based on experience)</v>
      </c>
      <c r="H9" s="244"/>
    </row>
    <row r="10" spans="1:10" ht="12.95" customHeight="1" thickTop="1" x14ac:dyDescent="0.2">
      <c r="A10" s="244"/>
      <c r="B10" s="483"/>
      <c r="C10" s="486"/>
      <c r="D10" s="480" t="s">
        <v>5</v>
      </c>
      <c r="E10" s="314"/>
      <c r="F10" s="244"/>
      <c r="G10" s="476" t="str">
        <f>VLOOKUP("Boundaries and Process Guide - sources",Labels!$A$1:$C$1001,IF(LanguageSelection="FR",3,2),FALSE)</f>
        <v>List the documents used as sources (reports etc.). A maximum number of five sources can be listed.</v>
      </c>
      <c r="H10" s="244"/>
    </row>
    <row r="11" spans="1:10" ht="12.95" customHeight="1" x14ac:dyDescent="0.2">
      <c r="A11" s="244"/>
      <c r="B11" s="484"/>
      <c r="C11" s="487"/>
      <c r="D11" s="481"/>
      <c r="E11" s="473"/>
      <c r="F11" s="244"/>
      <c r="G11" s="477"/>
      <c r="H11" s="244"/>
    </row>
    <row r="12" spans="1:10" ht="12.95" customHeight="1" x14ac:dyDescent="0.2">
      <c r="A12" s="244"/>
      <c r="B12" s="484"/>
      <c r="C12" s="487"/>
      <c r="D12" s="481"/>
      <c r="E12" s="315"/>
      <c r="F12" s="244"/>
      <c r="G12" s="477"/>
      <c r="H12" s="244"/>
    </row>
    <row r="13" spans="1:10" ht="12.95" customHeight="1" x14ac:dyDescent="0.2">
      <c r="A13" s="244"/>
      <c r="B13" s="484"/>
      <c r="C13" s="487"/>
      <c r="D13" s="481"/>
      <c r="E13" s="473"/>
      <c r="F13" s="244"/>
      <c r="G13" s="477"/>
      <c r="H13" s="244"/>
    </row>
    <row r="14" spans="1:10" ht="12.95" customHeight="1" thickBot="1" x14ac:dyDescent="0.25">
      <c r="A14" s="244"/>
      <c r="B14" s="485"/>
      <c r="C14" s="488"/>
      <c r="D14" s="482"/>
      <c r="E14" s="316"/>
      <c r="F14" s="244"/>
      <c r="G14" s="478"/>
      <c r="H14" s="244"/>
    </row>
    <row r="15" spans="1:10" ht="13.5" thickTop="1" x14ac:dyDescent="0.2">
      <c r="A15" s="244"/>
      <c r="B15" s="244"/>
      <c r="C15" s="244"/>
      <c r="D15" s="244"/>
      <c r="E15" s="244"/>
      <c r="F15" s="244"/>
      <c r="G15" s="244"/>
      <c r="H15" s="244"/>
    </row>
    <row r="16" spans="1:10" ht="12.75" x14ac:dyDescent="0.2">
      <c r="A16" s="32"/>
      <c r="B16" s="32"/>
    </row>
    <row r="17" spans="1:8" ht="15.75" x14ac:dyDescent="0.25">
      <c r="A17" s="32"/>
      <c r="B17" s="306" t="str">
        <f>_xlfn.TEXTJOIN("",FALSE,"☞ ",VLOOKUP("Please fill out all the blue cells",Labels!$A$1:$C$1001,IF(LanguageSelection="FR",3,2),FALSE),")")</f>
        <v>☞ Please fill out all the blue cells)</v>
      </c>
      <c r="C17" s="249"/>
      <c r="D17" s="249"/>
      <c r="E17" s="249"/>
      <c r="F17" s="249"/>
      <c r="G17" s="249"/>
      <c r="H17" s="249"/>
    </row>
    <row r="18" spans="1:8" ht="12.75" x14ac:dyDescent="0.2">
      <c r="A18" s="32"/>
      <c r="B18" s="32"/>
    </row>
    <row r="19" spans="1:8" ht="15.75" x14ac:dyDescent="0.25">
      <c r="A19" s="32"/>
      <c r="B19" s="308"/>
    </row>
    <row r="20" spans="1:8" ht="12.75" x14ac:dyDescent="0.2">
      <c r="A20" s="32"/>
      <c r="B20" s="32"/>
    </row>
    <row r="21" spans="1:8" ht="12.75" x14ac:dyDescent="0.2">
      <c r="A21" s="32"/>
      <c r="B21" s="32"/>
    </row>
    <row r="22" spans="1:8" ht="12.75" x14ac:dyDescent="0.2">
      <c r="A22" s="32"/>
      <c r="B22" s="32"/>
    </row>
    <row r="23" spans="1:8" ht="12.75" x14ac:dyDescent="0.2">
      <c r="A23" s="32"/>
      <c r="B23" s="32"/>
    </row>
    <row r="24" spans="1:8" ht="12.75" x14ac:dyDescent="0.2">
      <c r="A24" s="32"/>
      <c r="B24" s="32"/>
    </row>
    <row r="25" spans="1:8" ht="12.75" x14ac:dyDescent="0.2">
      <c r="A25" s="32"/>
      <c r="B25" s="32"/>
    </row>
    <row r="26" spans="1:8" ht="12.75" x14ac:dyDescent="0.2">
      <c r="A26" s="32"/>
      <c r="B26" s="32"/>
    </row>
    <row r="27" spans="1:8" ht="12.75" x14ac:dyDescent="0.2">
      <c r="A27" s="32"/>
      <c r="B27" s="32"/>
    </row>
    <row r="28" spans="1:8" ht="12.75" x14ac:dyDescent="0.2">
      <c r="A28" s="32"/>
      <c r="B28" s="32"/>
    </row>
    <row r="29" spans="1:8" ht="12.75" x14ac:dyDescent="0.2">
      <c r="A29" s="32"/>
      <c r="B29" s="32"/>
    </row>
    <row r="30" spans="1:8" ht="12.75" x14ac:dyDescent="0.2">
      <c r="A30" s="32"/>
      <c r="B30" s="32"/>
    </row>
    <row r="31" spans="1:8" ht="12.75" x14ac:dyDescent="0.2">
      <c r="A31" s="32"/>
      <c r="B31" s="32"/>
    </row>
    <row r="32" spans="1:8" ht="12.75" x14ac:dyDescent="0.2">
      <c r="A32" s="32"/>
      <c r="B32" s="32"/>
    </row>
    <row r="33" s="32" customFormat="1" ht="12.75" x14ac:dyDescent="0.2"/>
    <row r="34" s="32" customFormat="1" ht="12.75" x14ac:dyDescent="0.2"/>
    <row r="35" s="32" customFormat="1" ht="12.75" x14ac:dyDescent="0.2"/>
    <row r="36" s="32" customFormat="1" ht="12.75" x14ac:dyDescent="0.2"/>
    <row r="37" s="32" customFormat="1" ht="12.75" x14ac:dyDescent="0.2"/>
    <row r="38" s="32" customFormat="1" ht="12.75" x14ac:dyDescent="0.2"/>
    <row r="39" s="32" customFormat="1" ht="12.75" x14ac:dyDescent="0.2"/>
    <row r="40" s="32" customFormat="1" ht="12.75" x14ac:dyDescent="0.2"/>
    <row r="41" s="32" customFormat="1" ht="12.75" x14ac:dyDescent="0.2"/>
    <row r="42" s="32" customFormat="1" ht="12.75" x14ac:dyDescent="0.2"/>
    <row r="43" s="32" customFormat="1" ht="12.75" x14ac:dyDescent="0.2"/>
    <row r="44" s="32" customFormat="1" ht="12.75" x14ac:dyDescent="0.2"/>
    <row r="45" s="32" customFormat="1" ht="12.75" x14ac:dyDescent="0.2"/>
    <row r="46" s="32" customFormat="1" ht="12.75" x14ac:dyDescent="0.2"/>
    <row r="47" s="32" customFormat="1" ht="12.75" x14ac:dyDescent="0.2"/>
    <row r="48" s="32" customFormat="1" ht="12.75" x14ac:dyDescent="0.2"/>
    <row r="49" s="32" customFormat="1" ht="12.75" x14ac:dyDescent="0.2"/>
    <row r="50" s="32" customFormat="1" ht="12.75" x14ac:dyDescent="0.2"/>
    <row r="51" s="32" customFormat="1" ht="12.75" x14ac:dyDescent="0.2"/>
    <row r="52" s="32" customFormat="1" ht="12.75" x14ac:dyDescent="0.2"/>
    <row r="53" s="32" customFormat="1" ht="12.75" x14ac:dyDescent="0.2"/>
    <row r="54" s="32" customFormat="1" ht="12.75" x14ac:dyDescent="0.2"/>
    <row r="55" s="32" customFormat="1" ht="12.75" x14ac:dyDescent="0.2"/>
    <row r="56" s="32" customFormat="1" ht="12.75" x14ac:dyDescent="0.2"/>
    <row r="57" s="32" customFormat="1" ht="12.75" x14ac:dyDescent="0.2"/>
    <row r="58" s="32" customFormat="1" ht="12.75" x14ac:dyDescent="0.2"/>
    <row r="59" s="32" customFormat="1" ht="12.75" x14ac:dyDescent="0.2"/>
    <row r="60" s="32" customFormat="1" ht="12.75" x14ac:dyDescent="0.2"/>
    <row r="61" s="32" customFormat="1" ht="12.75" x14ac:dyDescent="0.2"/>
    <row r="62" s="32" customFormat="1" ht="12.75" x14ac:dyDescent="0.2"/>
    <row r="63" s="32" customFormat="1" ht="12.75" x14ac:dyDescent="0.2"/>
    <row r="64" s="32" customFormat="1" ht="12.75" x14ac:dyDescent="0.2"/>
    <row r="65" s="32" customFormat="1" ht="12.75" x14ac:dyDescent="0.2"/>
    <row r="66" s="32" customFormat="1" ht="12.75" x14ac:dyDescent="0.2"/>
    <row r="67" s="32" customFormat="1" ht="12.75" x14ac:dyDescent="0.2"/>
    <row r="68" s="32" customFormat="1" ht="12.75" x14ac:dyDescent="0.2"/>
    <row r="69" s="32" customFormat="1" ht="12.75" x14ac:dyDescent="0.2"/>
    <row r="70" s="32" customFormat="1" ht="12.75" x14ac:dyDescent="0.2"/>
    <row r="71" s="32" customFormat="1" ht="12.75" x14ac:dyDescent="0.2"/>
    <row r="72" s="32" customFormat="1" ht="12.75" x14ac:dyDescent="0.2"/>
    <row r="73" s="32" customFormat="1" ht="12.75" x14ac:dyDescent="0.2"/>
    <row r="74" s="32" customFormat="1" ht="12.75" x14ac:dyDescent="0.2"/>
    <row r="75" s="32" customFormat="1" ht="12.75" x14ac:dyDescent="0.2"/>
    <row r="76" s="32" customFormat="1" ht="12.75" x14ac:dyDescent="0.2"/>
    <row r="77" s="32" customFormat="1" ht="12.75" x14ac:dyDescent="0.2"/>
    <row r="78" s="32" customFormat="1" ht="12.75" x14ac:dyDescent="0.2"/>
    <row r="79" s="32" customFormat="1" ht="12.75" x14ac:dyDescent="0.2"/>
    <row r="80" s="32" customFormat="1" ht="12.75" x14ac:dyDescent="0.2"/>
    <row r="81" s="32" customFormat="1" ht="12.75" x14ac:dyDescent="0.2"/>
    <row r="82" s="32" customFormat="1" ht="12.75" x14ac:dyDescent="0.2"/>
    <row r="83" s="32" customFormat="1" ht="12.75" x14ac:dyDescent="0.2"/>
    <row r="84" s="32" customFormat="1" ht="12.75" x14ac:dyDescent="0.2"/>
    <row r="85" s="32" customFormat="1" ht="12.75" x14ac:dyDescent="0.2"/>
    <row r="86" s="32" customFormat="1" ht="12.75" x14ac:dyDescent="0.2"/>
    <row r="87" s="32" customFormat="1" ht="12.75" x14ac:dyDescent="0.2"/>
    <row r="88" s="32" customFormat="1" ht="12.75" x14ac:dyDescent="0.2"/>
    <row r="89" s="32" customFormat="1" ht="12.75" x14ac:dyDescent="0.2"/>
    <row r="90" s="32" customFormat="1" ht="12.75" x14ac:dyDescent="0.2"/>
    <row r="91" s="32" customFormat="1" ht="12.75" x14ac:dyDescent="0.2"/>
    <row r="92" s="32" customFormat="1" ht="12.75" x14ac:dyDescent="0.2"/>
    <row r="93" s="32" customFormat="1" ht="12.75" x14ac:dyDescent="0.2"/>
    <row r="94" s="32" customFormat="1" ht="12.75" x14ac:dyDescent="0.2"/>
    <row r="95" s="32" customFormat="1" ht="12.75" x14ac:dyDescent="0.2"/>
    <row r="96" s="32" customFormat="1" ht="12.75" x14ac:dyDescent="0.2"/>
    <row r="97" s="32" customFormat="1" ht="12.75" x14ac:dyDescent="0.2"/>
    <row r="98" s="32" customFormat="1" ht="12.75" x14ac:dyDescent="0.2"/>
    <row r="99" s="32" customFormat="1" ht="12.75" x14ac:dyDescent="0.2"/>
    <row r="100" s="32" customFormat="1" ht="12.75" x14ac:dyDescent="0.2"/>
    <row r="101" s="32" customFormat="1" ht="12.75" x14ac:dyDescent="0.2"/>
    <row r="102" s="32" customFormat="1" ht="12.75" x14ac:dyDescent="0.2"/>
    <row r="103" s="32" customFormat="1" ht="12.75" x14ac:dyDescent="0.2"/>
    <row r="104" s="32" customFormat="1" ht="12.75" x14ac:dyDescent="0.2"/>
    <row r="105" s="32" customFormat="1" ht="12.75" x14ac:dyDescent="0.2"/>
    <row r="106" s="32" customFormat="1" ht="12.75" x14ac:dyDescent="0.2"/>
    <row r="107" s="32" customFormat="1" ht="12.75" x14ac:dyDescent="0.2"/>
    <row r="108" s="32" customFormat="1" ht="12.75" x14ac:dyDescent="0.2"/>
    <row r="109" s="32" customFormat="1" ht="12.75" x14ac:dyDescent="0.2"/>
    <row r="110" s="32" customFormat="1" ht="12.75" x14ac:dyDescent="0.2"/>
    <row r="111" s="32" customFormat="1" ht="12.75" x14ac:dyDescent="0.2"/>
    <row r="112" s="32" customFormat="1" ht="12.75" x14ac:dyDescent="0.2"/>
    <row r="113" s="32" customFormat="1" ht="12.75" x14ac:dyDescent="0.2"/>
    <row r="114" s="32" customFormat="1" ht="12.75" x14ac:dyDescent="0.2"/>
    <row r="115" s="32" customFormat="1" ht="12.75" x14ac:dyDescent="0.2"/>
    <row r="116" s="32" customFormat="1" ht="12.75" x14ac:dyDescent="0.2"/>
    <row r="117" s="32" customFormat="1" ht="12.75" x14ac:dyDescent="0.2"/>
    <row r="118" s="32" customFormat="1" ht="12.75" x14ac:dyDescent="0.2"/>
    <row r="119" s="32" customFormat="1" ht="12.75" x14ac:dyDescent="0.2"/>
    <row r="120" s="32" customFormat="1" ht="12.75" x14ac:dyDescent="0.2"/>
    <row r="121" s="32" customFormat="1" ht="12.75" x14ac:dyDescent="0.2"/>
    <row r="122" s="32" customFormat="1" ht="12.75" x14ac:dyDescent="0.2"/>
    <row r="123" s="32" customFormat="1" ht="12.75" x14ac:dyDescent="0.2"/>
    <row r="124" s="32" customFormat="1" ht="12.75" x14ac:dyDescent="0.2"/>
    <row r="125" s="32" customFormat="1" ht="12.75" x14ac:dyDescent="0.2"/>
    <row r="126" s="32" customFormat="1" ht="12.75" x14ac:dyDescent="0.2"/>
    <row r="127" s="32" customFormat="1" ht="12.75" x14ac:dyDescent="0.2"/>
    <row r="128" s="32" customFormat="1" ht="12.75" x14ac:dyDescent="0.2"/>
    <row r="129" s="32" customFormat="1" ht="12.75" x14ac:dyDescent="0.2"/>
    <row r="130" s="32" customFormat="1" ht="12.75" x14ac:dyDescent="0.2"/>
    <row r="131" s="32" customFormat="1" ht="12.75" x14ac:dyDescent="0.2"/>
    <row r="132" s="32" customFormat="1" ht="12.75" x14ac:dyDescent="0.2"/>
    <row r="133" s="32" customFormat="1" ht="12.75" x14ac:dyDescent="0.2"/>
    <row r="134" s="32" customFormat="1" ht="12.75" x14ac:dyDescent="0.2"/>
    <row r="135" s="32" customFormat="1" ht="12.75" x14ac:dyDescent="0.2"/>
    <row r="136" s="32" customFormat="1" ht="12.75" x14ac:dyDescent="0.2"/>
    <row r="137" s="32" customFormat="1" ht="12.75" x14ac:dyDescent="0.2"/>
    <row r="138" s="32" customFormat="1" ht="12.75" x14ac:dyDescent="0.2"/>
    <row r="139" s="32" customFormat="1" ht="12.75" x14ac:dyDescent="0.2"/>
    <row r="140" s="32" customFormat="1" ht="12.75" x14ac:dyDescent="0.2"/>
    <row r="141" s="32" customFormat="1" ht="12.75" x14ac:dyDescent="0.2"/>
    <row r="142" s="32" customFormat="1" ht="12.75" x14ac:dyDescent="0.2"/>
    <row r="143" s="32" customFormat="1" ht="12.75" x14ac:dyDescent="0.2"/>
    <row r="144" s="32" customFormat="1" ht="12.75" x14ac:dyDescent="0.2"/>
    <row r="145" s="32" customFormat="1" ht="12.75" x14ac:dyDescent="0.2"/>
    <row r="146" s="32" customFormat="1" ht="12.75" x14ac:dyDescent="0.2"/>
    <row r="147" s="32" customFormat="1" ht="12.75" x14ac:dyDescent="0.2"/>
    <row r="148" s="32" customFormat="1" ht="12.75" x14ac:dyDescent="0.2"/>
    <row r="149" s="32" customFormat="1" ht="12.75" x14ac:dyDescent="0.2"/>
    <row r="150" s="32" customFormat="1" ht="12.75" x14ac:dyDescent="0.2"/>
    <row r="151" s="32" customFormat="1" ht="12.75" x14ac:dyDescent="0.2"/>
    <row r="152" s="32" customFormat="1" ht="12.75" x14ac:dyDescent="0.2"/>
    <row r="153" s="32" customFormat="1" ht="12.75" x14ac:dyDescent="0.2"/>
    <row r="154" s="32" customFormat="1" ht="12.75" x14ac:dyDescent="0.2"/>
    <row r="155" s="32" customFormat="1" ht="12.75" x14ac:dyDescent="0.2"/>
    <row r="156" s="32" customFormat="1" ht="12.75" x14ac:dyDescent="0.2"/>
    <row r="157" s="32" customFormat="1" ht="12.75" x14ac:dyDescent="0.2"/>
    <row r="158" s="32" customFormat="1" ht="12.75" x14ac:dyDescent="0.2"/>
    <row r="159" s="32" customFormat="1" ht="12.75" x14ac:dyDescent="0.2"/>
    <row r="160" s="32" customFormat="1" ht="12.75" x14ac:dyDescent="0.2"/>
    <row r="161" s="32" customFormat="1" ht="12.75" x14ac:dyDescent="0.2"/>
    <row r="162" s="32" customFormat="1" ht="12.75" x14ac:dyDescent="0.2"/>
    <row r="163" s="32" customFormat="1" ht="12.75" x14ac:dyDescent="0.2"/>
    <row r="164" s="32" customFormat="1" ht="12.75" x14ac:dyDescent="0.2"/>
    <row r="165" s="32" customFormat="1" ht="12.75" x14ac:dyDescent="0.2"/>
    <row r="166" s="32" customFormat="1" ht="12.75" x14ac:dyDescent="0.2"/>
    <row r="167" s="32" customFormat="1" ht="12.75" x14ac:dyDescent="0.2"/>
    <row r="168" s="32" customFormat="1" ht="12.75" x14ac:dyDescent="0.2"/>
    <row r="169" s="32" customFormat="1" ht="12.75" x14ac:dyDescent="0.2"/>
    <row r="170" s="32" customFormat="1" ht="12.75" x14ac:dyDescent="0.2"/>
    <row r="171" s="32" customFormat="1" ht="12.75" x14ac:dyDescent="0.2"/>
    <row r="172" s="32" customFormat="1" ht="12.75" x14ac:dyDescent="0.2"/>
    <row r="173" s="32" customFormat="1" ht="12.75" x14ac:dyDescent="0.2"/>
    <row r="174" s="32" customFormat="1" ht="12.75" x14ac:dyDescent="0.2"/>
    <row r="175" s="32" customFormat="1" ht="12.75" x14ac:dyDescent="0.2"/>
    <row r="176" s="32" customFormat="1" ht="12.75" x14ac:dyDescent="0.2"/>
    <row r="177" s="32" customFormat="1" ht="12.75" x14ac:dyDescent="0.2"/>
    <row r="178" s="32" customFormat="1" ht="12.75" x14ac:dyDescent="0.2"/>
    <row r="179" s="32" customFormat="1" ht="12.75" x14ac:dyDescent="0.2"/>
    <row r="180" s="32" customFormat="1" ht="12.75" x14ac:dyDescent="0.2"/>
    <row r="181" s="32" customFormat="1" ht="12.75" x14ac:dyDescent="0.2"/>
    <row r="182" s="32" customFormat="1" ht="12.75" x14ac:dyDescent="0.2"/>
    <row r="183" s="32" customFormat="1" ht="12.75" x14ac:dyDescent="0.2"/>
    <row r="184" s="32" customFormat="1" ht="12.75" x14ac:dyDescent="0.2"/>
    <row r="185" s="32" customFormat="1" ht="12.75" x14ac:dyDescent="0.2"/>
    <row r="186" s="32" customFormat="1" ht="12.75" x14ac:dyDescent="0.2"/>
    <row r="187" s="32" customFormat="1" ht="12.75" x14ac:dyDescent="0.2"/>
    <row r="188" s="32" customFormat="1" ht="12.75" x14ac:dyDescent="0.2"/>
    <row r="189" s="32" customFormat="1" ht="12.75" x14ac:dyDescent="0.2"/>
    <row r="190" s="32" customFormat="1" ht="12.75" x14ac:dyDescent="0.2"/>
    <row r="191" s="32" customFormat="1" ht="12.75" x14ac:dyDescent="0.2"/>
    <row r="192" s="32" customFormat="1" ht="12.75" x14ac:dyDescent="0.2"/>
    <row r="193" s="32" customFormat="1" ht="12.75" x14ac:dyDescent="0.2"/>
    <row r="194" s="32" customFormat="1" ht="12.75" x14ac:dyDescent="0.2"/>
    <row r="195" s="32" customFormat="1" ht="12.75" x14ac:dyDescent="0.2"/>
    <row r="196" s="32" customFormat="1" ht="12.75" x14ac:dyDescent="0.2"/>
    <row r="197" s="32" customFormat="1" ht="12.75" x14ac:dyDescent="0.2"/>
    <row r="198" s="32" customFormat="1" ht="12.75" x14ac:dyDescent="0.2"/>
    <row r="199" s="32" customFormat="1" ht="12.75" x14ac:dyDescent="0.2"/>
    <row r="200" s="32" customFormat="1" ht="12.75" x14ac:dyDescent="0.2"/>
    <row r="201" s="32" customFormat="1" ht="12.75" x14ac:dyDescent="0.2"/>
    <row r="202" s="32" customFormat="1" ht="12.75" x14ac:dyDescent="0.2"/>
    <row r="203" s="32" customFormat="1" ht="12.75" x14ac:dyDescent="0.2"/>
    <row r="204" s="32" customFormat="1" ht="12.75" x14ac:dyDescent="0.2"/>
    <row r="205" s="32" customFormat="1" ht="12.75" x14ac:dyDescent="0.2"/>
    <row r="206" s="32" customFormat="1" ht="12.75" x14ac:dyDescent="0.2"/>
    <row r="207" s="32" customFormat="1" ht="12.75" x14ac:dyDescent="0.2"/>
    <row r="208" s="32" customFormat="1" ht="12.75" x14ac:dyDescent="0.2"/>
    <row r="209" s="32" customFormat="1" ht="12.75" x14ac:dyDescent="0.2"/>
    <row r="210" s="32" customFormat="1" ht="12.75" x14ac:dyDescent="0.2"/>
    <row r="211" s="32" customFormat="1" ht="12.75" x14ac:dyDescent="0.2"/>
    <row r="212" s="32" customFormat="1" ht="12.75" x14ac:dyDescent="0.2"/>
    <row r="213" s="32" customFormat="1" ht="12.75" x14ac:dyDescent="0.2"/>
    <row r="214" s="32" customFormat="1" ht="12.75" x14ac:dyDescent="0.2"/>
    <row r="215" s="32" customFormat="1" ht="12.75" x14ac:dyDescent="0.2"/>
    <row r="216" s="32" customFormat="1" ht="12.75" x14ac:dyDescent="0.2"/>
    <row r="217" s="32" customFormat="1" ht="12.75" x14ac:dyDescent="0.2"/>
    <row r="218" s="32" customFormat="1" ht="12.75" x14ac:dyDescent="0.2"/>
    <row r="219" s="32" customFormat="1" ht="12.75" x14ac:dyDescent="0.2"/>
    <row r="220" s="32" customFormat="1" ht="12.75" x14ac:dyDescent="0.2"/>
    <row r="221" s="32" customFormat="1" ht="12.75" x14ac:dyDescent="0.2"/>
    <row r="222" s="32" customFormat="1" ht="12.75" x14ac:dyDescent="0.2"/>
    <row r="223" s="32" customFormat="1" ht="12.75" x14ac:dyDescent="0.2"/>
    <row r="224" s="32" customFormat="1" ht="12.75" x14ac:dyDescent="0.2"/>
    <row r="225" s="32" customFormat="1" ht="12.75" x14ac:dyDescent="0.2"/>
    <row r="226" s="32" customFormat="1" ht="12.75" x14ac:dyDescent="0.2"/>
    <row r="227" s="32" customFormat="1" ht="12.75" x14ac:dyDescent="0.2"/>
    <row r="228" s="32" customFormat="1" ht="12.75" x14ac:dyDescent="0.2"/>
    <row r="229" s="32" customFormat="1" ht="12.75" x14ac:dyDescent="0.2"/>
    <row r="230" s="32" customFormat="1" ht="12.75" x14ac:dyDescent="0.2"/>
    <row r="231" s="32" customFormat="1" ht="12.75" x14ac:dyDescent="0.2"/>
    <row r="232" s="32" customFormat="1" ht="12.75" x14ac:dyDescent="0.2"/>
    <row r="233" s="32" customFormat="1" ht="12.75" x14ac:dyDescent="0.2"/>
    <row r="234" s="32" customFormat="1" ht="12.75" x14ac:dyDescent="0.2"/>
    <row r="235" s="32" customFormat="1" ht="12.75" x14ac:dyDescent="0.2"/>
    <row r="236" s="32" customFormat="1" ht="12.75" x14ac:dyDescent="0.2"/>
    <row r="237" s="32" customFormat="1" ht="12.75" x14ac:dyDescent="0.2"/>
    <row r="238" s="32" customFormat="1" ht="12.75" x14ac:dyDescent="0.2"/>
    <row r="239" s="32" customFormat="1" ht="12.75" x14ac:dyDescent="0.2"/>
    <row r="240" s="32" customFormat="1" ht="12.75" x14ac:dyDescent="0.2"/>
    <row r="241" s="32" customFormat="1" ht="12.75" x14ac:dyDescent="0.2"/>
    <row r="242" s="32" customFormat="1" ht="12.75" x14ac:dyDescent="0.2"/>
    <row r="243" s="32" customFormat="1" ht="12.75" x14ac:dyDescent="0.2"/>
    <row r="244" s="32" customFormat="1" ht="12.75" x14ac:dyDescent="0.2"/>
    <row r="245" s="32" customFormat="1" ht="12.75" x14ac:dyDescent="0.2"/>
    <row r="246" s="32" customFormat="1" ht="12.75" x14ac:dyDescent="0.2"/>
    <row r="247" s="32" customFormat="1" ht="12.75" x14ac:dyDescent="0.2"/>
    <row r="248" s="32" customFormat="1" ht="12.75" x14ac:dyDescent="0.2"/>
    <row r="249" s="32" customFormat="1" ht="12.75" x14ac:dyDescent="0.2"/>
    <row r="250" s="32" customFormat="1" ht="12.75" x14ac:dyDescent="0.2"/>
    <row r="251" s="32" customFormat="1" ht="12.75" x14ac:dyDescent="0.2"/>
    <row r="252" s="32" customFormat="1" ht="12.75" x14ac:dyDescent="0.2"/>
    <row r="253" s="32" customFormat="1" ht="12.75" x14ac:dyDescent="0.2"/>
    <row r="254" s="32" customFormat="1" ht="12.75" x14ac:dyDescent="0.2"/>
    <row r="255" s="32" customFormat="1" ht="12.75" x14ac:dyDescent="0.2"/>
    <row r="256" s="32" customFormat="1" ht="12.75" x14ac:dyDescent="0.2"/>
    <row r="257" s="32" customFormat="1" ht="12.75" x14ac:dyDescent="0.2"/>
    <row r="258" s="32" customFormat="1" ht="12.75" x14ac:dyDescent="0.2"/>
    <row r="259" s="32" customFormat="1" ht="12.75" x14ac:dyDescent="0.2"/>
    <row r="260" s="32" customFormat="1" ht="12.75" x14ac:dyDescent="0.2"/>
    <row r="261" s="32" customFormat="1" ht="12.75" x14ac:dyDescent="0.2"/>
    <row r="262" s="32" customFormat="1" ht="12.75" x14ac:dyDescent="0.2"/>
    <row r="263" s="32" customFormat="1" ht="12.75" x14ac:dyDescent="0.2"/>
    <row r="264" s="32" customFormat="1" ht="12.75" x14ac:dyDescent="0.2"/>
    <row r="265" s="32" customFormat="1" ht="12.75" x14ac:dyDescent="0.2"/>
    <row r="266" s="32" customFormat="1" ht="12.75" x14ac:dyDescent="0.2"/>
    <row r="267" s="32" customFormat="1" ht="12.75" x14ac:dyDescent="0.2"/>
    <row r="268" s="32" customFormat="1" ht="12.75" x14ac:dyDescent="0.2"/>
    <row r="269" s="32" customFormat="1" ht="12.75" x14ac:dyDescent="0.2"/>
    <row r="270" s="32" customFormat="1" ht="12.75" x14ac:dyDescent="0.2"/>
    <row r="271" s="32" customFormat="1" ht="12.75" x14ac:dyDescent="0.2"/>
    <row r="272" s="32" customFormat="1" ht="12.75" x14ac:dyDescent="0.2"/>
    <row r="273" s="32" customFormat="1" ht="12.75" x14ac:dyDescent="0.2"/>
    <row r="274" s="32" customFormat="1" ht="12.75" x14ac:dyDescent="0.2"/>
    <row r="275" s="32" customFormat="1" ht="12.75" x14ac:dyDescent="0.2"/>
    <row r="276" s="32" customFormat="1" ht="12.75" x14ac:dyDescent="0.2"/>
    <row r="277" s="32" customFormat="1" ht="12.75" x14ac:dyDescent="0.2"/>
    <row r="278" s="32" customFormat="1" ht="12.75" x14ac:dyDescent="0.2"/>
    <row r="279" s="32" customFormat="1" ht="12.75" x14ac:dyDescent="0.2"/>
    <row r="280" s="32" customFormat="1" ht="12.75" x14ac:dyDescent="0.2"/>
    <row r="281" s="32" customFormat="1" ht="12.75" x14ac:dyDescent="0.2"/>
    <row r="282" s="32" customFormat="1" ht="12.75" x14ac:dyDescent="0.2"/>
    <row r="283" s="32" customFormat="1" ht="12.75" x14ac:dyDescent="0.2"/>
    <row r="284" s="32" customFormat="1" ht="12.75" x14ac:dyDescent="0.2"/>
    <row r="285" s="32" customFormat="1" ht="12.75" x14ac:dyDescent="0.2"/>
    <row r="286" s="32" customFormat="1" ht="12.75" x14ac:dyDescent="0.2"/>
    <row r="287" s="32" customFormat="1" ht="12.75" x14ac:dyDescent="0.2"/>
    <row r="288" s="32" customFormat="1" ht="12.75" x14ac:dyDescent="0.2"/>
    <row r="289" s="32" customFormat="1" ht="12.75" x14ac:dyDescent="0.2"/>
    <row r="290" s="32" customFormat="1" ht="12.75" x14ac:dyDescent="0.2"/>
    <row r="291" s="32" customFormat="1" ht="12.75" x14ac:dyDescent="0.2"/>
    <row r="292" s="32" customFormat="1" ht="12.75" x14ac:dyDescent="0.2"/>
    <row r="293" s="32" customFormat="1" ht="12.75" x14ac:dyDescent="0.2"/>
    <row r="294" s="32" customFormat="1" ht="12.75" x14ac:dyDescent="0.2"/>
    <row r="295" s="32" customFormat="1" ht="12.75" x14ac:dyDescent="0.2"/>
    <row r="296" s="32" customFormat="1" ht="12.75" x14ac:dyDescent="0.2"/>
    <row r="297" s="32" customFormat="1" ht="12.75" x14ac:dyDescent="0.2"/>
    <row r="298" s="32" customFormat="1" ht="12.75" x14ac:dyDescent="0.2"/>
    <row r="299" s="32" customFormat="1" ht="12.75" x14ac:dyDescent="0.2"/>
    <row r="300" s="32" customFormat="1" ht="12.75" x14ac:dyDescent="0.2"/>
    <row r="301" s="32" customFormat="1" ht="12.75" x14ac:dyDescent="0.2"/>
    <row r="302" s="32" customFormat="1" ht="12.75" x14ac:dyDescent="0.2"/>
    <row r="303" s="32" customFormat="1" ht="12.75" x14ac:dyDescent="0.2"/>
    <row r="304" s="32" customFormat="1" ht="12.75" x14ac:dyDescent="0.2"/>
    <row r="305" s="32" customFormat="1" ht="12.75" x14ac:dyDescent="0.2"/>
    <row r="306" s="32" customFormat="1" ht="12.75" x14ac:dyDescent="0.2"/>
    <row r="307" s="32" customFormat="1" ht="12.75" x14ac:dyDescent="0.2"/>
    <row r="308" s="32" customFormat="1" ht="12.75" x14ac:dyDescent="0.2"/>
    <row r="309" s="32" customFormat="1" ht="12.75" x14ac:dyDescent="0.2"/>
    <row r="310" s="32" customFormat="1" ht="12.75" x14ac:dyDescent="0.2"/>
    <row r="311" s="32" customFormat="1" ht="12.75" x14ac:dyDescent="0.2"/>
    <row r="312" s="32" customFormat="1" ht="12.75" x14ac:dyDescent="0.2"/>
    <row r="313" s="32" customFormat="1" ht="12.75" x14ac:dyDescent="0.2"/>
    <row r="314" s="32" customFormat="1" ht="12.75" x14ac:dyDescent="0.2"/>
    <row r="315" s="32" customFormat="1" ht="12.75" x14ac:dyDescent="0.2"/>
    <row r="316" s="32" customFormat="1" ht="12.75" x14ac:dyDescent="0.2"/>
    <row r="317" s="32" customFormat="1" ht="12.75" x14ac:dyDescent="0.2"/>
    <row r="318" s="32" customFormat="1" ht="12.75" x14ac:dyDescent="0.2"/>
    <row r="319" s="32" customFormat="1" ht="12.75" x14ac:dyDescent="0.2"/>
    <row r="320" s="32" customFormat="1" ht="12.75" x14ac:dyDescent="0.2"/>
    <row r="321" s="32" customFormat="1" ht="12.75" x14ac:dyDescent="0.2"/>
    <row r="322" s="32" customFormat="1" ht="12.75" x14ac:dyDescent="0.2"/>
    <row r="323" s="32" customFormat="1" ht="12.75" x14ac:dyDescent="0.2"/>
    <row r="324" s="32" customFormat="1" ht="12.75" x14ac:dyDescent="0.2"/>
    <row r="325" s="32" customFormat="1" ht="12.75" x14ac:dyDescent="0.2"/>
    <row r="326" s="32" customFormat="1" ht="12.75" x14ac:dyDescent="0.2"/>
    <row r="327" s="32" customFormat="1" ht="12.75" x14ac:dyDescent="0.2"/>
    <row r="328" s="32" customFormat="1" ht="12.75" x14ac:dyDescent="0.2"/>
    <row r="329" s="32" customFormat="1" ht="12.75" x14ac:dyDescent="0.2"/>
    <row r="330" s="32" customFormat="1" ht="12.75" x14ac:dyDescent="0.2"/>
    <row r="331" s="32" customFormat="1" ht="12.75" x14ac:dyDescent="0.2"/>
    <row r="332" s="32" customFormat="1" ht="12.75" x14ac:dyDescent="0.2"/>
    <row r="333" s="32" customFormat="1" ht="12.75" x14ac:dyDescent="0.2"/>
    <row r="334" s="32" customFormat="1" ht="12.75" x14ac:dyDescent="0.2"/>
    <row r="335" s="32" customFormat="1" ht="12.75" x14ac:dyDescent="0.2"/>
    <row r="336" s="32" customFormat="1" ht="12.75" x14ac:dyDescent="0.2"/>
    <row r="337" s="32" customFormat="1" ht="12.75" x14ac:dyDescent="0.2"/>
    <row r="338" s="32" customFormat="1" ht="12.75" x14ac:dyDescent="0.2"/>
    <row r="339" s="32" customFormat="1" ht="12.75" x14ac:dyDescent="0.2"/>
    <row r="340" s="32" customFormat="1" ht="12.75" x14ac:dyDescent="0.2"/>
    <row r="341" s="32" customFormat="1" ht="12.75" x14ac:dyDescent="0.2"/>
    <row r="342" s="32" customFormat="1" ht="12.75" x14ac:dyDescent="0.2"/>
    <row r="343" s="32" customFormat="1" ht="12.75" x14ac:dyDescent="0.2"/>
    <row r="344" s="32" customFormat="1" ht="12.75" x14ac:dyDescent="0.2"/>
    <row r="345" s="32" customFormat="1" ht="12.75" x14ac:dyDescent="0.2"/>
    <row r="346" s="32" customFormat="1" ht="12.75" x14ac:dyDescent="0.2"/>
    <row r="347" s="32" customFormat="1" ht="12.75" x14ac:dyDescent="0.2"/>
    <row r="348" s="32" customFormat="1" ht="12.75" x14ac:dyDescent="0.2"/>
    <row r="349" s="32" customFormat="1" ht="12.75" x14ac:dyDescent="0.2"/>
    <row r="350" s="32" customFormat="1" ht="12.75" x14ac:dyDescent="0.2"/>
    <row r="351" s="32" customFormat="1" ht="12.75" x14ac:dyDescent="0.2"/>
    <row r="352" s="32" customFormat="1" ht="12.75" x14ac:dyDescent="0.2"/>
    <row r="353" s="32" customFormat="1" ht="12.75" x14ac:dyDescent="0.2"/>
    <row r="354" s="32" customFormat="1" ht="12.75" x14ac:dyDescent="0.2"/>
    <row r="355" s="32" customFormat="1" ht="12.75" x14ac:dyDescent="0.2"/>
    <row r="356" s="32" customFormat="1" ht="12.75" x14ac:dyDescent="0.2"/>
    <row r="357" s="32" customFormat="1" ht="12.75" x14ac:dyDescent="0.2"/>
    <row r="358" s="32" customFormat="1" ht="12.75" x14ac:dyDescent="0.2"/>
    <row r="359" s="32" customFormat="1" ht="12.75" x14ac:dyDescent="0.2"/>
    <row r="360" s="32" customFormat="1" ht="12.75" x14ac:dyDescent="0.2"/>
    <row r="361" s="32" customFormat="1" ht="12.75" x14ac:dyDescent="0.2"/>
    <row r="362" s="32" customFormat="1" ht="12.75" x14ac:dyDescent="0.2"/>
    <row r="363" s="32" customFormat="1" ht="12.75" x14ac:dyDescent="0.2"/>
    <row r="364" s="32" customFormat="1" ht="12.75" x14ac:dyDescent="0.2"/>
    <row r="365" s="32" customFormat="1" ht="12.75" x14ac:dyDescent="0.2"/>
    <row r="366" s="32" customFormat="1" ht="12.75" x14ac:dyDescent="0.2"/>
    <row r="367" s="32" customFormat="1" ht="12.75" x14ac:dyDescent="0.2"/>
    <row r="368" s="32" customFormat="1" ht="12.75" x14ac:dyDescent="0.2"/>
    <row r="369" s="32" customFormat="1" ht="12.75" x14ac:dyDescent="0.2"/>
    <row r="370" s="32" customFormat="1" ht="12.75" x14ac:dyDescent="0.2"/>
    <row r="371" s="32" customFormat="1" ht="12.75" x14ac:dyDescent="0.2"/>
    <row r="372" s="32" customFormat="1" ht="12.75" x14ac:dyDescent="0.2"/>
    <row r="373" s="32" customFormat="1" ht="12.75" x14ac:dyDescent="0.2"/>
    <row r="374" s="32" customFormat="1" ht="12.75" x14ac:dyDescent="0.2"/>
    <row r="375" s="32" customFormat="1" ht="12.75" x14ac:dyDescent="0.2"/>
    <row r="376" s="32" customFormat="1" ht="12.75" x14ac:dyDescent="0.2"/>
    <row r="377" s="32" customFormat="1" ht="12.75" x14ac:dyDescent="0.2"/>
    <row r="378" s="32" customFormat="1" ht="12.75" x14ac:dyDescent="0.2"/>
    <row r="379" s="32" customFormat="1" ht="12.75" x14ac:dyDescent="0.2"/>
    <row r="380" s="32" customFormat="1" ht="12.75" x14ac:dyDescent="0.2"/>
    <row r="381" s="32" customFormat="1" ht="12.75" x14ac:dyDescent="0.2"/>
    <row r="382" s="32" customFormat="1" ht="12.75" x14ac:dyDescent="0.2"/>
    <row r="383" s="32" customFormat="1" ht="12.75" x14ac:dyDescent="0.2"/>
    <row r="384" s="32" customFormat="1" ht="12.75" x14ac:dyDescent="0.2"/>
    <row r="385" s="32" customFormat="1" ht="12.75" x14ac:dyDescent="0.2"/>
    <row r="386" s="32" customFormat="1" ht="12.75" x14ac:dyDescent="0.2"/>
    <row r="387" s="32" customFormat="1" ht="12.75" x14ac:dyDescent="0.2"/>
    <row r="388" s="32" customFormat="1" ht="12.75" x14ac:dyDescent="0.2"/>
    <row r="389" s="32" customFormat="1" ht="12.75" x14ac:dyDescent="0.2"/>
    <row r="390" s="32" customFormat="1" ht="12.75" x14ac:dyDescent="0.2"/>
    <row r="391" s="32" customFormat="1" ht="12.75" x14ac:dyDescent="0.2"/>
    <row r="392" s="32" customFormat="1" ht="12.75" x14ac:dyDescent="0.2"/>
    <row r="393" s="32" customFormat="1" ht="12.75" x14ac:dyDescent="0.2"/>
    <row r="394" s="32" customFormat="1" ht="12.75" x14ac:dyDescent="0.2"/>
    <row r="395" s="32" customFormat="1" ht="12.75" x14ac:dyDescent="0.2"/>
    <row r="396" s="32" customFormat="1" ht="12.75" x14ac:dyDescent="0.2"/>
    <row r="397" s="32" customFormat="1" ht="12.75" x14ac:dyDescent="0.2"/>
    <row r="398" s="32" customFormat="1" ht="12.75" x14ac:dyDescent="0.2"/>
    <row r="399" s="32" customFormat="1" ht="12.75" x14ac:dyDescent="0.2"/>
    <row r="400" s="32" customFormat="1" ht="12.75" x14ac:dyDescent="0.2"/>
    <row r="401" s="32" customFormat="1" ht="12.75" x14ac:dyDescent="0.2"/>
    <row r="402" s="32" customFormat="1" ht="12.75" x14ac:dyDescent="0.2"/>
    <row r="403" s="32" customFormat="1" ht="12.75" x14ac:dyDescent="0.2"/>
    <row r="404" s="32" customFormat="1" ht="12.75" x14ac:dyDescent="0.2"/>
    <row r="405" s="32" customFormat="1" ht="12.75" x14ac:dyDescent="0.2"/>
    <row r="406" s="32" customFormat="1" ht="12.75" x14ac:dyDescent="0.2"/>
    <row r="407" s="32" customFormat="1" ht="12.75" x14ac:dyDescent="0.2"/>
    <row r="408" s="32" customFormat="1" ht="12.75" x14ac:dyDescent="0.2"/>
    <row r="409" s="32" customFormat="1" ht="12.75" x14ac:dyDescent="0.2"/>
    <row r="410" s="32" customFormat="1" ht="12.75" x14ac:dyDescent="0.2"/>
    <row r="411" s="32" customFormat="1" ht="12.75" x14ac:dyDescent="0.2"/>
    <row r="412" s="32" customFormat="1" ht="12.75" x14ac:dyDescent="0.2"/>
    <row r="413" s="32" customFormat="1" ht="12.75" x14ac:dyDescent="0.2"/>
    <row r="414" s="32" customFormat="1" ht="12.75" x14ac:dyDescent="0.2"/>
    <row r="415" s="32" customFormat="1" ht="12.75" x14ac:dyDescent="0.2"/>
    <row r="416" s="32" customFormat="1" ht="12.75" x14ac:dyDescent="0.2"/>
    <row r="417" s="32" customFormat="1" ht="12.75" x14ac:dyDescent="0.2"/>
    <row r="418" s="32" customFormat="1" ht="12.75" x14ac:dyDescent="0.2"/>
    <row r="419" s="32" customFormat="1" ht="12.75" x14ac:dyDescent="0.2"/>
    <row r="420" s="32" customFormat="1" ht="12.75" x14ac:dyDescent="0.2"/>
    <row r="421" s="32" customFormat="1" ht="12.75" x14ac:dyDescent="0.2"/>
    <row r="422" s="32" customFormat="1" ht="12.75" x14ac:dyDescent="0.2"/>
    <row r="423" s="32" customFormat="1" ht="12.75" x14ac:dyDescent="0.2"/>
    <row r="424" s="32" customFormat="1" ht="12.75" x14ac:dyDescent="0.2"/>
    <row r="425" s="32" customFormat="1" ht="12.75" x14ac:dyDescent="0.2"/>
    <row r="426" s="32" customFormat="1" ht="12.75" x14ac:dyDescent="0.2"/>
    <row r="427" s="32" customFormat="1" ht="12.75" x14ac:dyDescent="0.2"/>
    <row r="428" s="32" customFormat="1" ht="12.75" x14ac:dyDescent="0.2"/>
    <row r="429" s="32" customFormat="1" ht="12.75" x14ac:dyDescent="0.2"/>
    <row r="430" s="32" customFormat="1" ht="12.75" x14ac:dyDescent="0.2"/>
    <row r="431" s="32" customFormat="1" ht="12.75" x14ac:dyDescent="0.2"/>
    <row r="432" s="32" customFormat="1" ht="12.75" x14ac:dyDescent="0.2"/>
    <row r="433" s="32" customFormat="1" ht="12.75" x14ac:dyDescent="0.2"/>
    <row r="434" s="32" customFormat="1" ht="12.75" x14ac:dyDescent="0.2"/>
    <row r="435" s="32" customFormat="1" ht="12.75" x14ac:dyDescent="0.2"/>
    <row r="436" s="32" customFormat="1" ht="12.75" x14ac:dyDescent="0.2"/>
    <row r="437" s="32" customFormat="1" ht="12.75" x14ac:dyDescent="0.2"/>
    <row r="438" s="32" customFormat="1" ht="12.75" x14ac:dyDescent="0.2"/>
    <row r="439" s="32" customFormat="1" ht="12.75" x14ac:dyDescent="0.2"/>
    <row r="440" s="32" customFormat="1" ht="12.75" x14ac:dyDescent="0.2"/>
    <row r="441" s="32" customFormat="1" ht="12.75" x14ac:dyDescent="0.2"/>
    <row r="442" s="32" customFormat="1" ht="12.75" x14ac:dyDescent="0.2"/>
    <row r="443" s="32" customFormat="1" ht="12.75" x14ac:dyDescent="0.2"/>
    <row r="444" s="32" customFormat="1" ht="12.75" x14ac:dyDescent="0.2"/>
    <row r="445" s="32" customFormat="1" ht="12.75" x14ac:dyDescent="0.2"/>
    <row r="446" s="32" customFormat="1" ht="12.75" x14ac:dyDescent="0.2"/>
    <row r="447" s="32" customFormat="1" ht="12.75" x14ac:dyDescent="0.2"/>
    <row r="448" s="32" customFormat="1" ht="12.75" x14ac:dyDescent="0.2"/>
    <row r="449" s="32" customFormat="1" ht="12.75" x14ac:dyDescent="0.2"/>
    <row r="450" s="32" customFormat="1" ht="12.75" x14ac:dyDescent="0.2"/>
    <row r="451" s="32" customFormat="1" ht="12.75" x14ac:dyDescent="0.2"/>
    <row r="452" s="32" customFormat="1" ht="12.75" x14ac:dyDescent="0.2"/>
    <row r="453" s="32" customFormat="1" ht="12.75" x14ac:dyDescent="0.2"/>
    <row r="454" s="32" customFormat="1" ht="12.75" x14ac:dyDescent="0.2"/>
    <row r="455" s="32" customFormat="1" ht="12.75" x14ac:dyDescent="0.2"/>
    <row r="456" s="32" customFormat="1" ht="12.75" x14ac:dyDescent="0.2"/>
    <row r="457" s="32" customFormat="1" ht="12.75" x14ac:dyDescent="0.2"/>
    <row r="458" s="32" customFormat="1" ht="12.75" x14ac:dyDescent="0.2"/>
    <row r="459" s="32" customFormat="1" ht="12.75" x14ac:dyDescent="0.2"/>
    <row r="460" s="32" customFormat="1" ht="12.75" x14ac:dyDescent="0.2"/>
    <row r="461" s="32" customFormat="1" ht="12.75" x14ac:dyDescent="0.2"/>
    <row r="462" s="32" customFormat="1" ht="12.75" x14ac:dyDescent="0.2"/>
    <row r="463" s="32" customFormat="1" ht="12.75" x14ac:dyDescent="0.2"/>
    <row r="464" s="32" customFormat="1" ht="12.75" x14ac:dyDescent="0.2"/>
    <row r="465" s="32" customFormat="1" ht="12.75" x14ac:dyDescent="0.2"/>
    <row r="466" s="32" customFormat="1" ht="12.75" x14ac:dyDescent="0.2"/>
    <row r="467" s="32" customFormat="1" ht="12.75" x14ac:dyDescent="0.2"/>
    <row r="468" s="32" customFormat="1" ht="12.75" x14ac:dyDescent="0.2"/>
    <row r="469" s="32" customFormat="1" ht="12.75" x14ac:dyDescent="0.2"/>
    <row r="470" s="32" customFormat="1" ht="12.75" x14ac:dyDescent="0.2"/>
    <row r="471" s="32" customFormat="1" ht="12.75" x14ac:dyDescent="0.2"/>
    <row r="472" s="32" customFormat="1" ht="12.75" x14ac:dyDescent="0.2"/>
    <row r="473" s="32" customFormat="1" ht="12.75" x14ac:dyDescent="0.2"/>
    <row r="474" s="32" customFormat="1" ht="12.75" x14ac:dyDescent="0.2"/>
    <row r="475" s="32" customFormat="1" ht="12.75" x14ac:dyDescent="0.2"/>
    <row r="476" s="32" customFormat="1" ht="12.75" x14ac:dyDescent="0.2"/>
    <row r="477" s="32" customFormat="1" ht="12.75" x14ac:dyDescent="0.2"/>
    <row r="478" s="32" customFormat="1" ht="12.75" x14ac:dyDescent="0.2"/>
    <row r="479" s="32" customFormat="1" ht="12.75" x14ac:dyDescent="0.2"/>
    <row r="480" s="32" customFormat="1" ht="12.75" x14ac:dyDescent="0.2"/>
    <row r="481" s="32" customFormat="1" ht="12.75" x14ac:dyDescent="0.2"/>
    <row r="482" s="32" customFormat="1" ht="12.75" x14ac:dyDescent="0.2"/>
    <row r="483" s="32" customFormat="1" ht="12.75" x14ac:dyDescent="0.2"/>
    <row r="484" s="32" customFormat="1" ht="12.75" x14ac:dyDescent="0.2"/>
    <row r="485" s="32" customFormat="1" ht="12.75" x14ac:dyDescent="0.2"/>
    <row r="486" s="32" customFormat="1" ht="12.75" x14ac:dyDescent="0.2"/>
    <row r="487" s="32" customFormat="1" ht="12.75" x14ac:dyDescent="0.2"/>
    <row r="488" s="32" customFormat="1" ht="12.75" x14ac:dyDescent="0.2"/>
    <row r="489" s="32" customFormat="1" ht="12.75" x14ac:dyDescent="0.2"/>
    <row r="490" s="32" customFormat="1" ht="12.75" x14ac:dyDescent="0.2"/>
    <row r="491" s="32" customFormat="1" ht="12.75" x14ac:dyDescent="0.2"/>
    <row r="492" s="32" customFormat="1" ht="12.75" x14ac:dyDescent="0.2"/>
    <row r="493" s="32" customFormat="1" ht="12.75" x14ac:dyDescent="0.2"/>
    <row r="494" s="32" customFormat="1" ht="12.75" x14ac:dyDescent="0.2"/>
    <row r="495" s="32" customFormat="1" ht="12.75" x14ac:dyDescent="0.2"/>
    <row r="496" s="32" customFormat="1" ht="12.75" x14ac:dyDescent="0.2"/>
    <row r="497" s="32" customFormat="1" ht="12.75" x14ac:dyDescent="0.2"/>
    <row r="498" s="32" customFormat="1" ht="12.75" x14ac:dyDescent="0.2"/>
    <row r="499" s="32" customFormat="1" ht="12.75" x14ac:dyDescent="0.2"/>
    <row r="500" s="32" customFormat="1" ht="12.75" x14ac:dyDescent="0.2"/>
    <row r="501" s="32" customFormat="1" ht="12.75" x14ac:dyDescent="0.2"/>
    <row r="502" s="32" customFormat="1" ht="12.75" x14ac:dyDescent="0.2"/>
    <row r="503" s="32" customFormat="1" ht="12.75" x14ac:dyDescent="0.2"/>
    <row r="504" s="32" customFormat="1" ht="12.75" x14ac:dyDescent="0.2"/>
    <row r="505" s="32" customFormat="1" ht="12.75" x14ac:dyDescent="0.2"/>
    <row r="506" s="32" customFormat="1" ht="12.75" x14ac:dyDescent="0.2"/>
    <row r="507" s="32" customFormat="1" ht="12.75" x14ac:dyDescent="0.2"/>
    <row r="508" s="32" customFormat="1" ht="12.75" x14ac:dyDescent="0.2"/>
    <row r="509" s="32" customFormat="1" ht="12.75" x14ac:dyDescent="0.2"/>
    <row r="510" s="32" customFormat="1" ht="12.75" x14ac:dyDescent="0.2"/>
    <row r="511" s="32" customFormat="1" ht="12.75" x14ac:dyDescent="0.2"/>
    <row r="512" s="32" customFormat="1" ht="12.75" x14ac:dyDescent="0.2"/>
    <row r="513" s="32" customFormat="1" ht="12.75" x14ac:dyDescent="0.2"/>
    <row r="514" s="32" customFormat="1" ht="12.75" x14ac:dyDescent="0.2"/>
    <row r="515" s="32" customFormat="1" ht="12.75" x14ac:dyDescent="0.2"/>
    <row r="516" s="32" customFormat="1" ht="12.75" x14ac:dyDescent="0.2"/>
    <row r="517" s="32" customFormat="1" ht="12.75" x14ac:dyDescent="0.2"/>
    <row r="518" s="32" customFormat="1" ht="12.75" x14ac:dyDescent="0.2"/>
    <row r="519" s="32" customFormat="1" ht="12.75" x14ac:dyDescent="0.2"/>
    <row r="520" s="32" customFormat="1" ht="12.75" x14ac:dyDescent="0.2"/>
    <row r="521" s="32" customFormat="1" ht="12.75" x14ac:dyDescent="0.2"/>
    <row r="522" s="32" customFormat="1" ht="12.75" x14ac:dyDescent="0.2"/>
    <row r="523" s="32" customFormat="1" ht="12.75" x14ac:dyDescent="0.2"/>
    <row r="524" s="32" customFormat="1" ht="12.75" x14ac:dyDescent="0.2"/>
    <row r="525" s="32" customFormat="1" ht="12.75" x14ac:dyDescent="0.2"/>
    <row r="526" s="32" customFormat="1" ht="12.75" x14ac:dyDescent="0.2"/>
    <row r="527" s="32" customFormat="1" ht="12.75" x14ac:dyDescent="0.2"/>
    <row r="528" s="32" customFormat="1" ht="12.75" x14ac:dyDescent="0.2"/>
    <row r="529" s="32" customFormat="1" ht="12.75" x14ac:dyDescent="0.2"/>
    <row r="530" s="32" customFormat="1" ht="12.75" x14ac:dyDescent="0.2"/>
    <row r="531" s="32" customFormat="1" ht="12.75" x14ac:dyDescent="0.2"/>
    <row r="532" s="32" customFormat="1" ht="12.75" x14ac:dyDescent="0.2"/>
    <row r="533" s="32" customFormat="1" ht="12.75" x14ac:dyDescent="0.2"/>
    <row r="534" s="32" customFormat="1" ht="12.75" x14ac:dyDescent="0.2"/>
    <row r="535" s="32" customFormat="1" ht="12.75" x14ac:dyDescent="0.2"/>
    <row r="536" s="32" customFormat="1" ht="12.75" x14ac:dyDescent="0.2"/>
    <row r="537" s="32" customFormat="1" ht="12.75" x14ac:dyDescent="0.2"/>
    <row r="538" s="32" customFormat="1" ht="12.75" x14ac:dyDescent="0.2"/>
    <row r="539" s="32" customFormat="1" ht="12.75" x14ac:dyDescent="0.2"/>
    <row r="540" s="32" customFormat="1" ht="12.75" x14ac:dyDescent="0.2"/>
    <row r="541" s="32" customFormat="1" ht="12.75" x14ac:dyDescent="0.2"/>
    <row r="542" s="32" customFormat="1" ht="12.75" x14ac:dyDescent="0.2"/>
    <row r="543" s="32" customFormat="1" ht="12.75" x14ac:dyDescent="0.2"/>
    <row r="544" s="32" customFormat="1" ht="12.75" x14ac:dyDescent="0.2"/>
    <row r="545" s="32" customFormat="1" ht="12.75" x14ac:dyDescent="0.2"/>
    <row r="546" s="32" customFormat="1" ht="12.75" x14ac:dyDescent="0.2"/>
    <row r="547" s="32" customFormat="1" ht="12.75" x14ac:dyDescent="0.2"/>
    <row r="548" s="32" customFormat="1" ht="12.75" x14ac:dyDescent="0.2"/>
    <row r="549" s="32" customFormat="1" ht="12.75" x14ac:dyDescent="0.2"/>
    <row r="550" s="32" customFormat="1" ht="12.75" x14ac:dyDescent="0.2"/>
    <row r="551" s="32" customFormat="1" ht="12.75" x14ac:dyDescent="0.2"/>
    <row r="552" s="32" customFormat="1" ht="12.75" x14ac:dyDescent="0.2"/>
    <row r="553" s="32" customFormat="1" ht="12.75" x14ac:dyDescent="0.2"/>
    <row r="554" s="32" customFormat="1" ht="12.75" x14ac:dyDescent="0.2"/>
    <row r="555" s="32" customFormat="1" ht="12.75" x14ac:dyDescent="0.2"/>
    <row r="556" s="32" customFormat="1" ht="12.75" x14ac:dyDescent="0.2"/>
    <row r="557" s="32" customFormat="1" ht="12.75" x14ac:dyDescent="0.2"/>
    <row r="558" s="32" customFormat="1" ht="12.75" x14ac:dyDescent="0.2"/>
    <row r="559" s="32" customFormat="1" ht="12.75" x14ac:dyDescent="0.2"/>
    <row r="560" s="32" customFormat="1" ht="12.75" x14ac:dyDescent="0.2"/>
    <row r="561" s="32" customFormat="1" ht="12.75" x14ac:dyDescent="0.2"/>
    <row r="562" s="32" customFormat="1" ht="12.75" x14ac:dyDescent="0.2"/>
    <row r="563" s="32" customFormat="1" ht="12.75" x14ac:dyDescent="0.2"/>
    <row r="564" s="32" customFormat="1" ht="12.75" x14ac:dyDescent="0.2"/>
    <row r="565" s="32" customFormat="1" ht="12.75" x14ac:dyDescent="0.2"/>
    <row r="566" s="32" customFormat="1" ht="12.75" x14ac:dyDescent="0.2"/>
    <row r="567" s="32" customFormat="1" ht="12.75" x14ac:dyDescent="0.2"/>
    <row r="568" s="32" customFormat="1" ht="12.75" x14ac:dyDescent="0.2"/>
    <row r="569" s="32" customFormat="1" ht="12.75" x14ac:dyDescent="0.2"/>
    <row r="570" s="32" customFormat="1" ht="12.75" x14ac:dyDescent="0.2"/>
    <row r="571" s="32" customFormat="1" ht="12.75" x14ac:dyDescent="0.2"/>
    <row r="572" s="32" customFormat="1" ht="12.75" x14ac:dyDescent="0.2"/>
    <row r="573" s="32" customFormat="1" ht="12.75" x14ac:dyDescent="0.2"/>
    <row r="574" s="32" customFormat="1" ht="12.75" x14ac:dyDescent="0.2"/>
    <row r="575" s="32" customFormat="1" ht="12.75" x14ac:dyDescent="0.2"/>
    <row r="576" s="32" customFormat="1" ht="12.75" x14ac:dyDescent="0.2"/>
    <row r="577" s="32" customFormat="1" ht="12.75" x14ac:dyDescent="0.2"/>
    <row r="578" s="32" customFormat="1" ht="12.75" x14ac:dyDescent="0.2"/>
    <row r="579" s="32" customFormat="1" ht="12.75" x14ac:dyDescent="0.2"/>
    <row r="580" s="32" customFormat="1" ht="12.75" x14ac:dyDescent="0.2"/>
    <row r="581" s="32" customFormat="1" ht="12.75" x14ac:dyDescent="0.2"/>
    <row r="582" s="32" customFormat="1" ht="12.75" x14ac:dyDescent="0.2"/>
    <row r="583" s="32" customFormat="1" ht="12.75" x14ac:dyDescent="0.2"/>
    <row r="584" s="32" customFormat="1" ht="12.75" x14ac:dyDescent="0.2"/>
    <row r="585" s="32" customFormat="1" ht="12.75" x14ac:dyDescent="0.2"/>
    <row r="586" s="32" customFormat="1" ht="12.75" x14ac:dyDescent="0.2"/>
    <row r="587" s="32" customFormat="1" ht="12.75" x14ac:dyDescent="0.2"/>
    <row r="588" s="32" customFormat="1" ht="12.75" x14ac:dyDescent="0.2"/>
    <row r="589" s="32" customFormat="1" ht="12.75" x14ac:dyDescent="0.2"/>
    <row r="590" s="32" customFormat="1" ht="12.75" x14ac:dyDescent="0.2"/>
    <row r="591" s="32" customFormat="1" ht="12.75" x14ac:dyDescent="0.2"/>
    <row r="592" s="32" customFormat="1" ht="12.75" x14ac:dyDescent="0.2"/>
    <row r="593" s="32" customFormat="1" ht="12.75" x14ac:dyDescent="0.2"/>
    <row r="594" s="32" customFormat="1" ht="12.75" x14ac:dyDescent="0.2"/>
    <row r="595" s="32" customFormat="1" ht="12.75" x14ac:dyDescent="0.2"/>
    <row r="596" s="32" customFormat="1" ht="12.75" x14ac:dyDescent="0.2"/>
    <row r="597" s="32" customFormat="1" ht="12.75" x14ac:dyDescent="0.2"/>
    <row r="598" s="32" customFormat="1" ht="12.75" x14ac:dyDescent="0.2"/>
    <row r="599" s="32" customFormat="1" ht="12.75" x14ac:dyDescent="0.2"/>
    <row r="600" s="32" customFormat="1" ht="12.75" x14ac:dyDescent="0.2"/>
    <row r="601" s="32" customFormat="1" ht="12.75" x14ac:dyDescent="0.2"/>
    <row r="602" s="32" customFormat="1" ht="12.75" x14ac:dyDescent="0.2"/>
    <row r="603" s="32" customFormat="1" ht="12.75" x14ac:dyDescent="0.2"/>
    <row r="604" s="32" customFormat="1" ht="12.75" x14ac:dyDescent="0.2"/>
    <row r="605" s="32" customFormat="1" ht="12.75" x14ac:dyDescent="0.2"/>
    <row r="606" s="32" customFormat="1" ht="12.75" x14ac:dyDescent="0.2"/>
    <row r="607" s="32" customFormat="1" ht="12.75" x14ac:dyDescent="0.2"/>
    <row r="608" s="32" customFormat="1" ht="12.75" x14ac:dyDescent="0.2"/>
    <row r="609" s="32" customFormat="1" ht="12.75" x14ac:dyDescent="0.2"/>
    <row r="610" s="32" customFormat="1" ht="12.75" x14ac:dyDescent="0.2"/>
    <row r="611" s="32" customFormat="1" ht="12.75" x14ac:dyDescent="0.2"/>
    <row r="612" s="32" customFormat="1" ht="12.75" x14ac:dyDescent="0.2"/>
    <row r="613" s="32" customFormat="1" ht="12.75" x14ac:dyDescent="0.2"/>
    <row r="614" s="32" customFormat="1" ht="12.75" x14ac:dyDescent="0.2"/>
    <row r="615" s="32" customFormat="1" ht="12.75" x14ac:dyDescent="0.2"/>
    <row r="616" s="32" customFormat="1" ht="12.75" x14ac:dyDescent="0.2"/>
    <row r="617" s="32" customFormat="1" ht="12.75" x14ac:dyDescent="0.2"/>
    <row r="618" s="32" customFormat="1" ht="12.75" x14ac:dyDescent="0.2"/>
    <row r="619" s="32" customFormat="1" ht="12.75" x14ac:dyDescent="0.2"/>
    <row r="620" s="32" customFormat="1" ht="12.75" x14ac:dyDescent="0.2"/>
    <row r="621" s="32" customFormat="1" ht="12.75" x14ac:dyDescent="0.2"/>
    <row r="622" s="32" customFormat="1" ht="12.75" x14ac:dyDescent="0.2"/>
    <row r="623" s="32" customFormat="1" ht="12.75" x14ac:dyDescent="0.2"/>
    <row r="624" s="32" customFormat="1" ht="12.75" x14ac:dyDescent="0.2"/>
    <row r="625" s="32" customFormat="1" ht="12.75" x14ac:dyDescent="0.2"/>
    <row r="626" s="32" customFormat="1" ht="12.75" x14ac:dyDescent="0.2"/>
    <row r="627" s="32" customFormat="1" ht="12.75" x14ac:dyDescent="0.2"/>
    <row r="628" s="32" customFormat="1" ht="12.75" x14ac:dyDescent="0.2"/>
    <row r="629" s="32" customFormat="1" ht="12.75" x14ac:dyDescent="0.2"/>
    <row r="630" s="32" customFormat="1" ht="12.75" x14ac:dyDescent="0.2"/>
    <row r="631" s="32" customFormat="1" ht="12.75" x14ac:dyDescent="0.2"/>
    <row r="632" s="32" customFormat="1" ht="12.75" x14ac:dyDescent="0.2"/>
    <row r="633" s="32" customFormat="1" ht="12.75" x14ac:dyDescent="0.2"/>
    <row r="634" s="32" customFormat="1" ht="12.75" x14ac:dyDescent="0.2"/>
    <row r="635" s="32" customFormat="1" ht="12.75" x14ac:dyDescent="0.2"/>
    <row r="636" s="32" customFormat="1" ht="12.75" x14ac:dyDescent="0.2"/>
    <row r="637" s="32" customFormat="1" ht="12.75" x14ac:dyDescent="0.2"/>
    <row r="638" s="32" customFormat="1" ht="12.75" x14ac:dyDescent="0.2"/>
    <row r="639" s="32" customFormat="1" ht="12.75" x14ac:dyDescent="0.2"/>
    <row r="640" s="32" customFormat="1" ht="12.75" x14ac:dyDescent="0.2"/>
    <row r="641" s="32" customFormat="1" ht="12.75" x14ac:dyDescent="0.2"/>
    <row r="642" s="32" customFormat="1" ht="12.75" x14ac:dyDescent="0.2"/>
    <row r="643" s="32" customFormat="1" ht="12.75" x14ac:dyDescent="0.2"/>
    <row r="644" s="32" customFormat="1" ht="12.75" x14ac:dyDescent="0.2"/>
    <row r="645" s="32" customFormat="1" ht="12.75" x14ac:dyDescent="0.2"/>
    <row r="646" s="32" customFormat="1" ht="12.75" x14ac:dyDescent="0.2"/>
    <row r="647" s="32" customFormat="1" ht="12.75" x14ac:dyDescent="0.2"/>
    <row r="648" s="32" customFormat="1" ht="12.75" x14ac:dyDescent="0.2"/>
    <row r="649" s="32" customFormat="1" ht="12.75" x14ac:dyDescent="0.2"/>
    <row r="650" s="32" customFormat="1" ht="12.75" x14ac:dyDescent="0.2"/>
    <row r="651" s="32" customFormat="1" ht="12.75" x14ac:dyDescent="0.2"/>
    <row r="652" s="32" customFormat="1" ht="12.75" x14ac:dyDescent="0.2"/>
    <row r="653" s="32" customFormat="1" ht="12.75" x14ac:dyDescent="0.2"/>
    <row r="654" s="32" customFormat="1" ht="12.75" x14ac:dyDescent="0.2"/>
    <row r="655" s="32" customFormat="1" ht="12.75" x14ac:dyDescent="0.2"/>
    <row r="656" s="32" customFormat="1" ht="12.75" x14ac:dyDescent="0.2"/>
    <row r="657" s="32" customFormat="1" ht="12.75" x14ac:dyDescent="0.2"/>
    <row r="658" s="32" customFormat="1" ht="12.75" x14ac:dyDescent="0.2"/>
    <row r="659" s="32" customFormat="1" ht="12.75" x14ac:dyDescent="0.2"/>
    <row r="660" s="32" customFormat="1" ht="12.75" x14ac:dyDescent="0.2"/>
    <row r="661" s="32" customFormat="1" ht="12.75" x14ac:dyDescent="0.2"/>
    <row r="662" s="32" customFormat="1" ht="12.75" x14ac:dyDescent="0.2"/>
    <row r="663" s="32" customFormat="1" ht="12.75" x14ac:dyDescent="0.2"/>
    <row r="664" s="32" customFormat="1" ht="12.75" x14ac:dyDescent="0.2"/>
    <row r="665" s="32" customFormat="1" ht="12.75" x14ac:dyDescent="0.2"/>
    <row r="666" s="32" customFormat="1" ht="12.75" x14ac:dyDescent="0.2"/>
    <row r="667" s="32" customFormat="1" ht="12.75" x14ac:dyDescent="0.2"/>
    <row r="668" s="32" customFormat="1" ht="12.75" x14ac:dyDescent="0.2"/>
    <row r="669" s="32" customFormat="1" ht="12.75" x14ac:dyDescent="0.2"/>
    <row r="670" s="32" customFormat="1" ht="12.75" x14ac:dyDescent="0.2"/>
    <row r="671" s="32" customFormat="1" ht="12.75" x14ac:dyDescent="0.2"/>
    <row r="672" s="32" customFormat="1" ht="12.75" x14ac:dyDescent="0.2"/>
    <row r="673" s="32" customFormat="1" ht="12.75" x14ac:dyDescent="0.2"/>
    <row r="674" s="32" customFormat="1" ht="12.75" x14ac:dyDescent="0.2"/>
    <row r="675" s="32" customFormat="1" ht="12.75" x14ac:dyDescent="0.2"/>
    <row r="676" s="32" customFormat="1" ht="12.75" x14ac:dyDescent="0.2"/>
    <row r="677" s="32" customFormat="1" ht="12.75" x14ac:dyDescent="0.2"/>
    <row r="678" s="32" customFormat="1" ht="12.75" x14ac:dyDescent="0.2"/>
    <row r="679" s="32" customFormat="1" ht="12.75" x14ac:dyDescent="0.2"/>
    <row r="680" s="32" customFormat="1" ht="12.75" x14ac:dyDescent="0.2"/>
    <row r="681" s="32" customFormat="1" ht="12.75" x14ac:dyDescent="0.2"/>
    <row r="682" s="32" customFormat="1" ht="12.75" x14ac:dyDescent="0.2"/>
    <row r="683" s="32" customFormat="1" ht="12.75" x14ac:dyDescent="0.2"/>
    <row r="684" s="32" customFormat="1" ht="12.75" x14ac:dyDescent="0.2"/>
    <row r="685" s="32" customFormat="1" ht="12.75" x14ac:dyDescent="0.2"/>
    <row r="686" s="32" customFormat="1" ht="12.75" x14ac:dyDescent="0.2"/>
    <row r="687" s="32" customFormat="1" ht="12.75" x14ac:dyDescent="0.2"/>
    <row r="688" s="32" customFormat="1" ht="12.75" x14ac:dyDescent="0.2"/>
    <row r="689" s="32" customFormat="1" ht="12.75" x14ac:dyDescent="0.2"/>
    <row r="690" s="32" customFormat="1" ht="12.75" x14ac:dyDescent="0.2"/>
    <row r="691" s="32" customFormat="1" ht="12.75" x14ac:dyDescent="0.2"/>
    <row r="692" s="32" customFormat="1" ht="12.75" x14ac:dyDescent="0.2"/>
    <row r="693" s="32" customFormat="1" ht="12.75" x14ac:dyDescent="0.2"/>
    <row r="694" s="32" customFormat="1" ht="12.75" x14ac:dyDescent="0.2"/>
    <row r="695" s="32" customFormat="1" ht="12.75" x14ac:dyDescent="0.2"/>
    <row r="696" s="32" customFormat="1" ht="12.75" x14ac:dyDescent="0.2"/>
    <row r="697" s="32" customFormat="1" ht="12.75" x14ac:dyDescent="0.2"/>
    <row r="698" s="32" customFormat="1" ht="12.75" x14ac:dyDescent="0.2"/>
    <row r="699" s="32" customFormat="1" ht="12.75" x14ac:dyDescent="0.2"/>
    <row r="700" s="32" customFormat="1" ht="12.75" x14ac:dyDescent="0.2"/>
    <row r="701" s="32" customFormat="1" ht="12.75" x14ac:dyDescent="0.2"/>
    <row r="702" s="32" customFormat="1" ht="12.75" x14ac:dyDescent="0.2"/>
    <row r="703" s="32" customFormat="1" ht="12.75" x14ac:dyDescent="0.2"/>
    <row r="704" s="32" customFormat="1" ht="12.75" x14ac:dyDescent="0.2"/>
    <row r="705" s="32" customFormat="1" ht="12.75" x14ac:dyDescent="0.2"/>
    <row r="706" s="32" customFormat="1" ht="12.75" x14ac:dyDescent="0.2"/>
    <row r="707" s="32" customFormat="1" ht="12.75" x14ac:dyDescent="0.2"/>
    <row r="708" s="32" customFormat="1" ht="12.75" x14ac:dyDescent="0.2"/>
    <row r="709" s="32" customFormat="1" ht="12.75" x14ac:dyDescent="0.2"/>
    <row r="710" s="32" customFormat="1" ht="12.75" x14ac:dyDescent="0.2"/>
    <row r="711" s="32" customFormat="1" ht="12.75" x14ac:dyDescent="0.2"/>
    <row r="712" s="32" customFormat="1" ht="12.75" x14ac:dyDescent="0.2"/>
    <row r="713" s="32" customFormat="1" ht="12.75" x14ac:dyDescent="0.2"/>
    <row r="714" s="32" customFormat="1" ht="12.75" x14ac:dyDescent="0.2"/>
    <row r="715" s="32" customFormat="1" ht="12.75" x14ac:dyDescent="0.2"/>
    <row r="716" s="32" customFormat="1" ht="12.75" x14ac:dyDescent="0.2"/>
    <row r="717" s="32" customFormat="1" ht="12.75" x14ac:dyDescent="0.2"/>
    <row r="718" s="32" customFormat="1" ht="12.75" x14ac:dyDescent="0.2"/>
    <row r="719" s="32" customFormat="1" ht="12.75" x14ac:dyDescent="0.2"/>
    <row r="720" s="32" customFormat="1" ht="12.75" x14ac:dyDescent="0.2"/>
    <row r="721" s="32" customFormat="1" ht="12.75" x14ac:dyDescent="0.2"/>
    <row r="722" s="32" customFormat="1" ht="12.75" x14ac:dyDescent="0.2"/>
    <row r="723" s="32" customFormat="1" ht="12.75" x14ac:dyDescent="0.2"/>
    <row r="724" s="32" customFormat="1" ht="12.75" x14ac:dyDescent="0.2"/>
    <row r="725" s="32" customFormat="1" ht="12.75" x14ac:dyDescent="0.2"/>
    <row r="726" s="32" customFormat="1" ht="12.75" x14ac:dyDescent="0.2"/>
    <row r="727" s="32" customFormat="1" ht="12.75" x14ac:dyDescent="0.2"/>
    <row r="728" s="32" customFormat="1" ht="12.75" x14ac:dyDescent="0.2"/>
    <row r="729" s="32" customFormat="1" ht="12.75" x14ac:dyDescent="0.2"/>
    <row r="730" s="32" customFormat="1" ht="12.75" x14ac:dyDescent="0.2"/>
    <row r="731" s="32" customFormat="1" ht="12.75" x14ac:dyDescent="0.2"/>
    <row r="732" s="32" customFormat="1" ht="12.75" x14ac:dyDescent="0.2"/>
    <row r="733" s="32" customFormat="1" ht="12.75" x14ac:dyDescent="0.2"/>
    <row r="734" s="32" customFormat="1" ht="12.75" x14ac:dyDescent="0.2"/>
    <row r="735" s="32" customFormat="1" ht="12.75" x14ac:dyDescent="0.2"/>
    <row r="736" s="32" customFormat="1" ht="12.75" x14ac:dyDescent="0.2"/>
    <row r="737" s="32" customFormat="1" ht="12.75" x14ac:dyDescent="0.2"/>
    <row r="738" s="32" customFormat="1" ht="12.75" x14ac:dyDescent="0.2"/>
    <row r="739" s="32" customFormat="1" ht="12.75" x14ac:dyDescent="0.2"/>
    <row r="740" s="32" customFormat="1" ht="12.75" x14ac:dyDescent="0.2"/>
    <row r="741" s="32" customFormat="1" ht="12.75" x14ac:dyDescent="0.2"/>
    <row r="742" s="32" customFormat="1" ht="12.75" x14ac:dyDescent="0.2"/>
    <row r="743" s="32" customFormat="1" ht="12.75" x14ac:dyDescent="0.2"/>
    <row r="744" s="32" customFormat="1" ht="12.75" x14ac:dyDescent="0.2"/>
    <row r="745" s="32" customFormat="1" ht="12.75" x14ac:dyDescent="0.2"/>
    <row r="746" s="32" customFormat="1" ht="12.75" x14ac:dyDescent="0.2"/>
    <row r="747" s="32" customFormat="1" ht="12.75" x14ac:dyDescent="0.2"/>
    <row r="748" s="32" customFormat="1" ht="12.75" x14ac:dyDescent="0.2"/>
    <row r="749" s="32" customFormat="1" ht="12.75" x14ac:dyDescent="0.2"/>
    <row r="750" s="32" customFormat="1" ht="12.75" x14ac:dyDescent="0.2"/>
    <row r="751" s="32" customFormat="1" ht="12.75" x14ac:dyDescent="0.2"/>
    <row r="752" s="32" customFormat="1" ht="12.75" x14ac:dyDescent="0.2"/>
    <row r="753" s="32" customFormat="1" ht="12.75" x14ac:dyDescent="0.2"/>
    <row r="754" s="32" customFormat="1" ht="12.75" x14ac:dyDescent="0.2"/>
    <row r="755" s="32" customFormat="1" ht="12.75" x14ac:dyDescent="0.2"/>
    <row r="756" s="32" customFormat="1" ht="12.75" x14ac:dyDescent="0.2"/>
    <row r="757" s="32" customFormat="1" ht="12.75" x14ac:dyDescent="0.2"/>
    <row r="758" s="32" customFormat="1" ht="12.75" x14ac:dyDescent="0.2"/>
    <row r="759" s="32" customFormat="1" ht="12.75" x14ac:dyDescent="0.2"/>
    <row r="760" s="32" customFormat="1" ht="12.75" x14ac:dyDescent="0.2"/>
    <row r="761" s="32" customFormat="1" ht="12.75" x14ac:dyDescent="0.2"/>
    <row r="762" s="32" customFormat="1" ht="12.75" x14ac:dyDescent="0.2"/>
    <row r="763" s="32" customFormat="1" ht="12.75" x14ac:dyDescent="0.2"/>
  </sheetData>
  <mergeCells count="5">
    <mergeCell ref="G10:G14"/>
    <mergeCell ref="B4:E4"/>
    <mergeCell ref="D10:D14"/>
    <mergeCell ref="B10:B14"/>
    <mergeCell ref="C10:C14"/>
  </mergeCells>
  <pageMargins left="0.31496062992125984" right="0.11811023622047245" top="0.39370078740157483" bottom="0.19685039370078741" header="0.19685039370078741" footer="0.11811023622047245"/>
  <pageSetup paperSize="9" scale="32" fitToHeight="0" orientation="portrait" r:id="rId1"/>
  <headerFooter>
    <oddHeader>&amp;L&amp;F&amp;R&amp;D</oddHeader>
    <oddFooter>&amp;C&amp;K02-008ScorecardVersion 2019&amp;R&amp;K01+045&amp;P                &amp;K00+000.</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982C4D09-A342-4105-9C9E-82B5617D27BC}">
          <x14:formula1>
            <xm:f>Labels!$B$1:$C$1</xm:f>
          </x14:formula1>
          <xm:sqref>B19 C2</xm:sqref>
        </x14:dataValidation>
        <x14:dataValidation type="list" showInputMessage="1" showErrorMessage="1" prompt="Please select fom one of the drop down options." xr:uid="{F5237FA3-44E9-4D31-B915-90FA8456BA18}">
          <x14:formula1>
            <xm:f>Calculation!$AV$3:$AV$12</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03749-0450-4D08-915A-A8C9639DCCEC}">
  <sheetPr codeName="Ark3">
    <tabColor theme="3" tint="0.59999389629810485"/>
    <pageSetUpPr fitToPage="1"/>
  </sheetPr>
  <dimension ref="A1:O913"/>
  <sheetViews>
    <sheetView showGridLines="0" zoomScale="80" zoomScaleNormal="80" workbookViewId="0">
      <pane xSplit="4" topLeftCell="E1" activePane="topRight" state="frozen"/>
      <selection pane="topRight" activeCell="B2" sqref="B2:H2"/>
    </sheetView>
  </sheetViews>
  <sheetFormatPr defaultColWidth="11.42578125" defaultRowHeight="26.25" x14ac:dyDescent="0.25"/>
  <cols>
    <col min="1" max="1" width="2.85546875" style="51" customWidth="1"/>
    <col min="2" max="2" width="20.7109375" style="52" customWidth="1"/>
    <col min="3" max="3" width="5.7109375" style="52" customWidth="1"/>
    <col min="4" max="4" width="20.7109375" style="52" customWidth="1"/>
    <col min="5" max="5" width="18.28515625" style="32" customWidth="1"/>
    <col min="6" max="6" width="15.7109375" style="32" customWidth="1"/>
    <col min="7" max="7" width="50.7109375" style="32" customWidth="1"/>
    <col min="8" max="8" width="20.7109375" style="32" customWidth="1"/>
    <col min="9" max="9" width="2.42578125" customWidth="1"/>
    <col min="10" max="14" width="30.7109375" style="32" customWidth="1"/>
    <col min="15" max="15" width="2.5703125" style="32" customWidth="1"/>
    <col min="16" max="16384" width="11.42578125" style="32"/>
  </cols>
  <sheetData>
    <row r="1" spans="1:15" ht="13.5" customHeight="1" thickBot="1" x14ac:dyDescent="0.45">
      <c r="A1" s="250" t="s">
        <v>6</v>
      </c>
      <c r="B1" s="250"/>
      <c r="C1" s="250"/>
      <c r="D1" s="250"/>
      <c r="E1" s="250"/>
      <c r="F1" s="250"/>
      <c r="G1" s="250"/>
      <c r="H1" s="250"/>
      <c r="I1" s="246"/>
      <c r="J1" s="490"/>
      <c r="K1" s="490"/>
      <c r="L1" s="490"/>
      <c r="M1" s="490"/>
      <c r="N1" s="490"/>
      <c r="O1" s="244"/>
    </row>
    <row r="2" spans="1:15" ht="84.95" customHeight="1" thickTop="1" thickBot="1" x14ac:dyDescent="0.3">
      <c r="A2" s="250"/>
      <c r="B2" s="502" t="str">
        <f>VLOOKUP("Demand side assessment",Labels!$A$1:$C$1001,IF(LanguageSelection="FR",3,2),FALSE)</f>
        <v>Demand side assessment</v>
      </c>
      <c r="C2" s="503"/>
      <c r="D2" s="503"/>
      <c r="E2" s="504"/>
      <c r="F2" s="504"/>
      <c r="G2" s="504"/>
      <c r="H2" s="505"/>
      <c r="I2" s="246"/>
      <c r="J2" s="267" t="str">
        <f>VLOOKUP("Guide",Labels!$A$1:$C$1001,IF(LanguageSelection="FR",3,2),FALSE)</f>
        <v>Guide</v>
      </c>
      <c r="K2" s="496" t="str">
        <f>VLOOKUP("Demand side Guide",Labels!$A$1:$C$1001,IF(LanguageSelection="FR",3,2),FALSE)</f>
        <v>For each variable:
1) Select the market phase that best describes the situation (see benchmarks below)
2) Indicate the trend over the last two years
3) Provide an explanation for the scoring
4) Select the main type of data source used to assess the variable
When complete, provide a short description of the overall picture of the demand side of the market</v>
      </c>
      <c r="L2" s="497"/>
      <c r="M2" s="497"/>
      <c r="N2" s="498"/>
      <c r="O2" s="244"/>
    </row>
    <row r="3" spans="1:15" ht="59.45" customHeight="1" thickTop="1" thickBot="1" x14ac:dyDescent="0.3">
      <c r="A3" s="250"/>
      <c r="B3" s="499" t="str">
        <f>_xlfn.CONCAT(VLOOKUP("Demand side observations",Labels!$A$1:$C$1001,IF(LanguageSelection="FR",3,2),FALSE),CHAR(10)," (",VLOOKUP("Describe the overall picture of the demand side of the market",Labels!$A$1:$C$1001,IF(LanguageSelection="FR",3,2),FALSE),")")</f>
        <v>Demand side observations
 (Describe the overall picture of the demand side of the market)</v>
      </c>
      <c r="C3" s="500"/>
      <c r="D3" s="501"/>
      <c r="E3" s="506"/>
      <c r="F3" s="507"/>
      <c r="G3" s="507"/>
      <c r="H3" s="507"/>
      <c r="I3" s="246"/>
      <c r="J3" s="60" t="str">
        <f>VLOOKUP("Country",Labels!$A$1:$C$3,IF(LanguageSelection="FR",3,2),FALSE)</f>
        <v>Country</v>
      </c>
      <c r="K3" s="60" t="str">
        <f>VLOOKUP("Year",Labels!$A$1:$C$1001,IF(LanguageSelection="FR",3,2),FALSE)</f>
        <v>Year</v>
      </c>
      <c r="L3" s="62" t="str">
        <f>VLOOKUP("Technology",Labels!$A$1:$C$1001,IF(LanguageSelection="FR",3,2),FALSE)</f>
        <v>Technology</v>
      </c>
      <c r="M3" s="492" t="str">
        <f>VLOOKUP("Boundaries",Labels!$A$1:$C$1001,IF(LanguageSelection="FR",3,2),FALSE)</f>
        <v>Boundaries</v>
      </c>
      <c r="N3" s="492"/>
      <c r="O3" s="246"/>
    </row>
    <row r="4" spans="1:15" s="38" customFormat="1" ht="50.1" customHeight="1" thickTop="1" thickBot="1" x14ac:dyDescent="0.3">
      <c r="A4" s="251"/>
      <c r="B4" s="307" t="str">
        <f>_xlfn.CONCAT("☞ ",VLOOKUP("Please fill out all the blue cells",Labels!$A$1:$C$1001,IF(LanguageSelection="FR",3,2),FALSE),")")</f>
        <v>☞ Please fill out all the blue cells)</v>
      </c>
      <c r="C4" s="293"/>
      <c r="D4" s="268"/>
      <c r="E4" s="508"/>
      <c r="F4" s="509"/>
      <c r="G4" s="509"/>
      <c r="H4" s="509"/>
      <c r="I4" s="246"/>
      <c r="J4" s="283">
        <f>Country</f>
        <v>0</v>
      </c>
      <c r="K4" s="284">
        <f>Year</f>
        <v>2024</v>
      </c>
      <c r="L4" s="275" t="str">
        <f>Technology</f>
        <v>Other</v>
      </c>
      <c r="M4" s="510" t="str">
        <f>_xlfn.CONCAT(VLOOKUP("Geography",Labels!$A$1:$C$1001,IF(LanguageSelection="FR",3,2),FALSE),": ",Geographical_boundaries,CHAR(10),VLOOKUP("Technology",Labels!$A$1:$C$1001,IF(LanguageSelection="FR",3,2),FALSE),": ",Technological_boundaries,CHAR(10),VLOOKUP("Target group",Labels!$A$1:$C$1001,IF(LanguageSelection="FR",3,2),FALSE),": ",Target_group_boundaries)</f>
        <v xml:space="preserve">Geography: 
Technology: 
Target group: </v>
      </c>
      <c r="N4" s="511"/>
      <c r="O4" s="251"/>
    </row>
    <row r="5" spans="1:15" ht="27.75" thickTop="1" thickBot="1" x14ac:dyDescent="0.25">
      <c r="A5" s="252"/>
      <c r="B5" s="493" t="str">
        <f>VLOOKUP("Energy Market Scores",Labels!$A$1:$C$1001,IF(LanguageSelection="FR",3,2),FALSE)</f>
        <v>Energy Market Scores</v>
      </c>
      <c r="C5" s="493"/>
      <c r="D5" s="493"/>
      <c r="E5" s="491"/>
      <c r="F5" s="491"/>
      <c r="G5" s="491"/>
      <c r="H5" s="491"/>
      <c r="I5" s="252"/>
      <c r="J5" s="491" t="str">
        <f>VLOOKUP("Scoring benchmarks",Labels!$A$1:$C$1001,IF(LanguageSelection="FR",3,2),FALSE)</f>
        <v>Scoring benchmarks</v>
      </c>
      <c r="K5" s="491"/>
      <c r="L5" s="491"/>
      <c r="M5" s="491"/>
      <c r="N5" s="491"/>
      <c r="O5" s="244"/>
    </row>
    <row r="6" spans="1:15" s="38" customFormat="1" ht="87.6" customHeight="1" thickTop="1" thickBot="1" x14ac:dyDescent="0.3">
      <c r="A6" s="253"/>
      <c r="B6" s="50" t="str">
        <f>VLOOKUP("Indicator",Labels!$A$1:$C$1001,IF(LanguageSelection="FR",3,2),FALSE)</f>
        <v>Indicator</v>
      </c>
      <c r="C6" s="50"/>
      <c r="D6" s="50" t="str">
        <f>VLOOKUP("Variable",Labels!$A$1:$C$1001,IF(LanguageSelection="FR",3,2),FALSE)</f>
        <v>Variable</v>
      </c>
      <c r="E6" s="59" t="str">
        <f>_xlfn.CONCAT(VLOOKUP("Market Phase",Labels!$A$1:$C$1001,IF(LanguageSelection="FR",3,2),FALSE),CHAR(10),"(",VLOOKUP("Drop-down list",Labels!$A$1:$C$1001,IF(LanguageSelection="FR",3,2),FALSE),")")</f>
        <v>Market Phase
(Drop-down list)</v>
      </c>
      <c r="F6" s="59" t="str">
        <f>_xlfn.CONCAT(VLOOKUP("Trend",Labels!$A$1:$C$1001,IF(LanguageSelection="FR",3,2),FALSE),CHAR(10),"(",VLOOKUP("Drop-down list",Labels!$A$1:$C$1001,IF(LanguageSelection="FR",3,2),FALSE),")")</f>
        <v>Trend
(Drop-down list)</v>
      </c>
      <c r="G6" s="59" t="str">
        <f>_xlfn.CONCAT(VLOOKUP("Explanation",Labels!$A$1:$C$1001,IF(LanguageSelection="FR",3,2),FALSE),CHAR(10),"(",VLOOKUP("Please provide a short explanation, max. 60 words",Labels!$A$1:$C$1001,IF(LanguageSelection="FR",3,2),FALSE),")")</f>
        <v>Explanation
(Please provide a short explanation, max. 60 words)</v>
      </c>
      <c r="H6" s="59" t="str">
        <f>_xlfn.CONCAT(VLOOKUP("Data Source",Labels!$A$1:$C$1001,IF(LanguageSelection="FR",3,2),FALSE),CHAR(10),"(",VLOOKUP("Drop-down list",Labels!$A$1:$C$1001,IF(LanguageSelection="FR",3,2),FALSE),")")</f>
        <v>Data Source
(Drop-down list)</v>
      </c>
      <c r="I6" s="255"/>
      <c r="J6" s="50" t="str">
        <f>VLOOKUP("Description",Labels!$A$1:$C$1001,IF(LanguageSelection="FR",3,2),FALSE)</f>
        <v>Description</v>
      </c>
      <c r="K6" s="34" t="s">
        <v>7</v>
      </c>
      <c r="L6" s="35" t="s">
        <v>8</v>
      </c>
      <c r="M6" s="36" t="s">
        <v>9</v>
      </c>
      <c r="N6" s="37" t="s">
        <v>10</v>
      </c>
      <c r="O6" s="251"/>
    </row>
    <row r="7" spans="1:15" ht="80.099999999999994" customHeight="1" thickTop="1" thickBot="1" x14ac:dyDescent="0.25">
      <c r="A7" s="257"/>
      <c r="B7" s="261" t="str">
        <f>VLOOKUP("d1",Labels!$A$1:$C$1001,IF(LanguageSelection="FR",3,2),FALSE)</f>
        <v>D1
Product and service diversity</v>
      </c>
      <c r="C7" s="49" t="s">
        <v>11</v>
      </c>
      <c r="D7" s="262" t="str">
        <f>'EAMD Scorecard'!D37</f>
        <v>Diversity</v>
      </c>
      <c r="E7" s="33"/>
      <c r="F7" s="33"/>
      <c r="G7" s="259"/>
      <c r="H7" s="258"/>
      <c r="I7" s="495"/>
      <c r="J7" s="262" t="str">
        <f>VLOOKUP($C7,Benchmarks!$D$6:$DB$48,2+VLOOKUP($L$4,Calculation!$AV$3:$AW$12,2,FALSE)+IF(LanguageSelection="FR",51,0),FALSE)</f>
        <v>Number of types and brands.</v>
      </c>
      <c r="K7" s="263" t="str">
        <f>VLOOKUP($C7,Benchmarks!$D$6:$DB$48,2+VLOOKUP($L$4,Calculation!$AV$3:$AW$12,2,FALSE)+_no_of_techs+IF(LanguageSelection="FR",51,0),FALSE)</f>
        <v>There is only a very limited number of type of quality product(s)/service(s) in the market.</v>
      </c>
      <c r="L7" s="264" t="str">
        <f>VLOOKUP($C7,Benchmarks!$D$6:$DB$48,2+VLOOKUP($L$4,Calculation!$AV$3:$AW$12,2,FALSE)+_no_of_techs*2+IF(LanguageSelection="FR",51,0),FALSE)</f>
        <v>More types of products/services appear for different needs / preferences</v>
      </c>
      <c r="M7" s="265" t="str">
        <f>VLOOKUP($C7,Benchmarks!$D$6:$DB$48,2+VLOOKUP($L$4,Calculation!$AV$3:$AW$12,2,FALSE)+_no_of_techs*3+IF(LanguageSelection="FR",51,0),FALSE)</f>
        <v>Successful improved product/service variations dominate. Variations appear for different consumer segments</v>
      </c>
      <c r="N7" s="266" t="str">
        <f>VLOOKUP($C7,Benchmarks!$D$6:$DB$48,2+VLOOKUP($L$4,Calculation!$AV$3:$AW$12,2,FALSE)+_no_of_techs*4+IF(LanguageSelection="FR",51,0),FALSE)</f>
        <v>Different needs of each consumer segment (regarding services and/or preferences) are served with a diversity of products/services.</v>
      </c>
      <c r="O7" s="244"/>
    </row>
    <row r="8" spans="1:15" ht="80.099999999999994" customHeight="1" thickTop="1" thickBot="1" x14ac:dyDescent="0.25">
      <c r="A8" s="257"/>
      <c r="B8" s="261" t="str">
        <f>VLOOKUP("d2",Labels!$A$1:$C$1001,IF(LanguageSelection="FR",3,2),FALSE)</f>
        <v>D2
Market penetration</v>
      </c>
      <c r="C8" s="49" t="s">
        <v>14</v>
      </c>
      <c r="D8" s="262" t="str">
        <f>'EAMD Scorecard'!D38</f>
        <v>Market share / Technology adopters</v>
      </c>
      <c r="E8" s="33"/>
      <c r="F8" s="33"/>
      <c r="G8" s="260"/>
      <c r="H8" s="258"/>
      <c r="I8" s="495"/>
      <c r="J8" s="262" t="str">
        <f>VLOOKUP($C8,Benchmarks!$D$6:$DB$48,2+VLOOKUP($L$4,Calculation!$AV$3:$AW$12,2,FALSE)+IF(LanguageSelection="FR",51,0),FALSE)</f>
        <v>Share of relevant market population owning the product/service.</v>
      </c>
      <c r="K8" s="263" t="str">
        <f>VLOOKUP($C8,Benchmarks!$D$6:$DB$48,2+VLOOKUP($L$4,Calculation!$AV$3:$AW$12,2,FALSE)+_no_of_techs+IF(LanguageSelection="FR",51,0),FALSE)</f>
        <v>Low market penetration rates (&lt;5%), as only the innovators (2-5% of all potential customers) have adopted the technology.</v>
      </c>
      <c r="L8" s="264" t="str">
        <f>VLOOKUP($C8,Benchmarks!$D$6:$DB$48,2+VLOOKUP($L$4,Calculation!$AV$3:$AW$12,2,FALSE)+_no_of_techs*2+IF(LanguageSelection="FR",51,0),FALSE)</f>
        <v xml:space="preserve">Market penetration rates increase (6-15%), first in areas where the supply is located. </v>
      </c>
      <c r="M8" s="265" t="str">
        <f>VLOOKUP($C8,Benchmarks!$D$6:$DB$48,2+VLOOKUP($L$4,Calculation!$AV$3:$AW$12,2,FALSE)+_no_of_techs*3+IF(LanguageSelection="FR",51,0),FALSE)</f>
        <v xml:space="preserve">Penetration rates are high in the initial immediate market area (16-30%). </v>
      </c>
      <c r="N8" s="266" t="str">
        <f>VLOOKUP($C8,Benchmarks!$D$6:$DB$48,2+VLOOKUP($L$4,Calculation!$AV$3:$AW$12,2,FALSE)+_no_of_techs*4+IF(LanguageSelection="FR",51,0),FALSE)</f>
        <v xml:space="preserve">Market penetration increase far beyond the initial immediate market area and target groups (31-55%). </v>
      </c>
      <c r="O8" s="244"/>
    </row>
    <row r="9" spans="1:15" ht="80.099999999999994" customHeight="1" thickTop="1" thickBot="1" x14ac:dyDescent="0.25">
      <c r="A9" s="257"/>
      <c r="B9" s="261" t="str">
        <f>VLOOKUP("d3",Labels!$A$1:$C$1001,IF(LanguageSelection="FR",3,2),FALSE)</f>
        <v>D3
Willingness to pay</v>
      </c>
      <c r="C9" s="49" t="s">
        <v>15</v>
      </c>
      <c r="D9" s="262" t="str">
        <f>'EAMD Scorecard'!D39</f>
        <v xml:space="preserve">Willingness to pay </v>
      </c>
      <c r="E9" s="33"/>
      <c r="F9" s="33"/>
      <c r="G9" s="260"/>
      <c r="H9" s="258"/>
      <c r="I9" s="495"/>
      <c r="J9" s="262" t="str">
        <f>VLOOKUP($C9,Benchmarks!$D$6:$DB$48,2+VLOOKUP($L$4,Calculation!$AV$3:$AW$12,2,FALSE)+IF(LanguageSelection="FR",51,0),FALSE)</f>
        <v>The maximum amount of money the average person is willing to pay for the product or service.</v>
      </c>
      <c r="K9" s="263" t="str">
        <f>VLOOKUP($C9,Benchmarks!$D$6:$DB$48,2+VLOOKUP($L$4,Calculation!$AV$3:$AW$12,2,FALSE)+_no_of_techs+IF(LanguageSelection="FR",51,0),FALSE)</f>
        <v>No willingness to pay is paired with low ability to pay.</v>
      </c>
      <c r="L9" s="264" t="str">
        <f>VLOOKUP($C9,Benchmarks!$D$6:$DB$48,2+VLOOKUP($L$4,Calculation!$AV$3:$AW$12,2,FALSE)+_no_of_techs*2+IF(LanguageSelection="FR",51,0),FALSE)</f>
        <v>Willingness to pay increases as consumers get to know the product/service, but willingness is low for quality products.</v>
      </c>
      <c r="M9" s="265" t="str">
        <f>VLOOKUP($C9,Benchmarks!$D$6:$DB$48,2+VLOOKUP($L$4,Calculation!$AV$3:$AW$12,2,FALSE)+_no_of_techs*3+IF(LanguageSelection="FR",51,0),FALSE)</f>
        <v>As product/service diversity increases, more customers with different willingness to pay are reached.</v>
      </c>
      <c r="N9" s="266" t="str">
        <f>VLOOKUP($C9,Benchmarks!$D$6:$DB$48,2+VLOOKUP($L$4,Calculation!$AV$3:$AW$12,2,FALSE)+_no_of_techs*4+IF(LanguageSelection="FR",51,0),FALSE)</f>
        <v>Customers are willing to pay the price set by businesses, because customers value the product/service.</v>
      </c>
      <c r="O9" s="244"/>
    </row>
    <row r="10" spans="1:15" ht="80.099999999999994" customHeight="1" thickTop="1" thickBot="1" x14ac:dyDescent="0.25">
      <c r="A10" s="257"/>
      <c r="B10" s="261" t="str">
        <f>VLOOKUP("d4",Labels!$A$1:$C$1001,IF(LanguageSelection="FR",3,2),FALSE)</f>
        <v>D4
Systems in use</v>
      </c>
      <c r="C10" s="49" t="s">
        <v>16</v>
      </c>
      <c r="D10" s="262" t="str">
        <f>'EAMD Scorecard'!D40</f>
        <v>Usage rate</v>
      </c>
      <c r="E10" s="33"/>
      <c r="F10" s="33"/>
      <c r="G10" s="260"/>
      <c r="H10" s="258"/>
      <c r="I10" s="495"/>
      <c r="J10" s="262" t="str">
        <f>VLOOKUP($C10,Benchmarks!$D$6:$DB$48,2+VLOOKUP($L$4,Calculation!$AV$3:$AW$12,2,FALSE)+IF(LanguageSelection="FR",51,0),FALSE)</f>
        <v>The share of systems sold that are used properly and regularly.</v>
      </c>
      <c r="K10" s="263" t="str">
        <f>VLOOKUP($C10,Benchmarks!$D$6:$DB$48,2+VLOOKUP($L$4,Calculation!$AV$3:$AW$12,2,FALSE)+_no_of_techs+IF(LanguageSelection="FR",51,0),FALSE)</f>
        <v>Usage rate is low. Knowledge concerning proper use is informal based on experience</v>
      </c>
      <c r="L10" s="264" t="str">
        <f>VLOOKUP($C10,Benchmarks!$D$6:$DB$48,2+VLOOKUP($L$4,Calculation!$AV$3:$AW$12,2,FALSE)+_no_of_techs*2+IF(LanguageSelection="FR",51,0),FALSE)</f>
        <v>Usage rates starts to increase. Some users know how to use the technology properly.</v>
      </c>
      <c r="M10" s="265" t="str">
        <f>VLOOKUP($C10,Benchmarks!$D$6:$DB$48,2+VLOOKUP($L$4,Calculation!$AV$3:$AW$12,2,FALSE)+_no_of_techs*3+IF(LanguageSelection="FR",51,0),FALSE)</f>
        <v>Higher usage rate. Most users know how to use the technology properly.</v>
      </c>
      <c r="N10" s="266" t="str">
        <f>VLOOKUP($C10,Benchmarks!$D$6:$DB$48,2+VLOOKUP($L$4,Calculation!$AV$3:$AW$12,2,FALSE)+_no_of_techs*4+IF(LanguageSelection="FR",51,0),FALSE)</f>
        <v>Usage rate is close to 100%. Almost all users know how to use the technology properly.</v>
      </c>
      <c r="O10" s="244"/>
    </row>
    <row r="11" spans="1:15" ht="80.099999999999994" customHeight="1" thickTop="1" thickBot="1" x14ac:dyDescent="0.25">
      <c r="A11" s="257"/>
      <c r="B11" s="261" t="str">
        <f>VLOOKUP("d5",Labels!$A$1:$C$1001,IF(LanguageSelection="FR",3,2),FALSE)</f>
        <v>D5
Replacement and repair</v>
      </c>
      <c r="C11" s="49" t="s">
        <v>17</v>
      </c>
      <c r="D11" s="262" t="str">
        <f>'EAMD Scorecard'!D42</f>
        <v>Replacement rate</v>
      </c>
      <c r="E11" s="33"/>
      <c r="F11" s="33"/>
      <c r="G11" s="260"/>
      <c r="H11" s="258"/>
      <c r="I11" s="495"/>
      <c r="J11" s="262" t="str">
        <f>VLOOKUP($C11,Benchmarks!$D$6:$DB$48,2+VLOOKUP($L$4,Calculation!$AV$3:$AW$12,2,FALSE)+IF(LanguageSelection="FR",51,0),FALSE)</f>
        <v>The fraction of customers investing in a new product or repairs/spare parts once it breaks or wears down.</v>
      </c>
      <c r="K11" s="263" t="str">
        <f>VLOOKUP($C11,Benchmarks!$D$6:$DB$48,2+VLOOKUP($L$4,Calculation!$AV$3:$AW$12,2,FALSE)+_no_of_techs+IF(LanguageSelection="FR",51,0),FALSE)</f>
        <v xml:space="preserve">No replacement and repairs yet. </v>
      </c>
      <c r="L11" s="264" t="str">
        <f>VLOOKUP($C11,Benchmarks!$D$6:$DB$48,2+VLOOKUP($L$4,Calculation!$AV$3:$AW$12,2,FALSE)+_no_of_techs*2+IF(LanguageSelection="FR",51,0),FALSE)</f>
        <v>Initial replacements/repairs occur. Replacement/repair rate is low.</v>
      </c>
      <c r="M11" s="265" t="str">
        <f>VLOOKUP($C11,Benchmarks!$D$6:$DB$48,2+VLOOKUP($L$4,Calculation!$AV$3:$AW$12,2,FALSE)+_no_of_techs*3+IF(LanguageSelection="FR",51,0),FALSE)</f>
        <v>Replacement/repair rate is high. Replacements/repairs become more common. Many of the broken technologies are replaced/repaired.</v>
      </c>
      <c r="N11" s="266" t="str">
        <f>VLOOKUP($C11,Benchmarks!$D$6:$DB$48,2+VLOOKUP($L$4,Calculation!$AV$3:$AW$12,2,FALSE)+_no_of_techs*4+IF(LanguageSelection="FR",51,0),FALSE)</f>
        <v>Replacement rate is close to 100% Almost all users replace or repair their broken technology.</v>
      </c>
      <c r="O11" s="244"/>
    </row>
    <row r="12" spans="1:15" ht="80.099999999999994" customHeight="1" thickTop="1" thickBot="1" x14ac:dyDescent="0.25">
      <c r="A12" s="257"/>
      <c r="B12" s="494" t="str">
        <f>VLOOKUP("d6",Labels!$A$1:$C$1001,IF(LanguageSelection="FR",3,2),FALSE)</f>
        <v>D6
Consumer awareness and perception</v>
      </c>
      <c r="C12" s="49" t="s">
        <v>18</v>
      </c>
      <c r="D12" s="262" t="str">
        <f>'EAMD Scorecard'!D44</f>
        <v>Awareness</v>
      </c>
      <c r="E12" s="334"/>
      <c r="F12" s="33"/>
      <c r="G12" s="260"/>
      <c r="H12" s="258"/>
      <c r="I12" s="495"/>
      <c r="J12" s="262" t="str">
        <f>VLOOKUP($C12,Benchmarks!$D$6:$DB$48,2+VLOOKUP($L$4,Calculation!$AV$3:$AW$12,2,FALSE)+IF(LanguageSelection="FR",51,0),FALSE)</f>
        <v>Share of target market population that know the product/service.</v>
      </c>
      <c r="K12" s="263" t="str">
        <f>VLOOKUP($C12,Benchmarks!$D$6:$DB$48,2+VLOOKUP($L$4,Calculation!$AV$3:$AW$12,2,FALSE)+_no_of_techs+IF(LanguageSelection="FR",51,0),FALSE)</f>
        <v>No (or very little) awareness: &lt; 5% of potential consumers are aware of the technology.</v>
      </c>
      <c r="L12" s="264" t="str">
        <f>VLOOKUP($C12,Benchmarks!$D$6:$DB$48,2+VLOOKUP($L$4,Calculation!$AV$3:$AW$12,2,FALSE)+_no_of_techs*2+IF(LanguageSelection="FR",51,0),FALSE)</f>
        <v>Fast growth in awareness: 6-30% of potential consumers are aware of the technology.</v>
      </c>
      <c r="M12" s="265" t="str">
        <f>VLOOKUP($C12,Benchmarks!$D$6:$DB$48,2+VLOOKUP($L$4,Calculation!$AV$3:$AW$12,2,FALSE)+_no_of_techs*3+IF(LanguageSelection="FR",51,0),FALSE)</f>
        <v>Most potential consumers (31-60%) are aware of the technology.</v>
      </c>
      <c r="N12" s="266" t="str">
        <f>VLOOKUP($C12,Benchmarks!$D$6:$DB$48,2+VLOOKUP($L$4,Calculation!$AV$3:$AW$12,2,FALSE)+_no_of_techs*4+IF(LanguageSelection="FR",51,0),FALSE)</f>
        <v>Almost all potential consumers are aware of the technology and are knowledgeable about pricing (61-80%).</v>
      </c>
      <c r="O12" s="244"/>
    </row>
    <row r="13" spans="1:15" ht="80.099999999999994" customHeight="1" thickTop="1" thickBot="1" x14ac:dyDescent="0.25">
      <c r="A13" s="257"/>
      <c r="B13" s="494"/>
      <c r="C13" s="49" t="s">
        <v>19</v>
      </c>
      <c r="D13" s="262" t="str">
        <f>'EAMD Scorecard'!D45</f>
        <v>Perception</v>
      </c>
      <c r="E13" s="334"/>
      <c r="F13" s="33"/>
      <c r="G13" s="260"/>
      <c r="H13" s="258"/>
      <c r="I13" s="495"/>
      <c r="J13" s="262" t="str">
        <f>VLOOKUP($C13,Benchmarks!$D$6:$DB$48,2+VLOOKUP($L$4,Calculation!$AV$3:$AW$12,2,FALSE)+IF(LanguageSelection="FR",51,0),FALSE)</f>
        <v>The ability of potential consumers to assess, choose, and specify the product/service that best serves their needs.</v>
      </c>
      <c r="K13" s="263" t="str">
        <f>VLOOKUP($C13,Benchmarks!$D$6:$DB$48,2+VLOOKUP($L$4,Calculation!$AV$3:$AW$12,2,FALSE)+_no_of_techs+IF(LanguageSelection="FR",51,0),FALSE)</f>
        <v>Only a few consumers perceive the technology positively as most of them are not aware of the benefits (&lt;20%).</v>
      </c>
      <c r="L13" s="264" t="str">
        <f>VLOOKUP($C13,Benchmarks!$D$6:$DB$48,2+VLOOKUP($L$4,Calculation!$AV$3:$AW$12,2,FALSE)+_no_of_techs*2+IF(LanguageSelection="FR",51,0),FALSE)</f>
        <v>More consumers perceive the technology positively, because they are aware of the benefits (21-40%).</v>
      </c>
      <c r="M13" s="265" t="str">
        <f>VLOOKUP($C13,Benchmarks!$D$6:$DB$48,2+VLOOKUP($L$4,Calculation!$AV$3:$AW$12,2,FALSE)+_no_of_techs*3+IF(LanguageSelection="FR",51,0),FALSE)</f>
        <v>Consumers perceive the technology positively, because most are aware of benefits and identify bad quality products (41-60%).</v>
      </c>
      <c r="N13" s="266" t="str">
        <f>VLOOKUP($C13,Benchmarks!$D$6:$DB$48,2+VLOOKUP($L$4,Calculation!$AV$3:$AW$12,2,FALSE)+_no_of_techs*4+IF(LanguageSelection="FR",51,0),FALSE)</f>
        <v>All consumers perceive the technology in general positively because they are aware of benefits and identify bad quality products (61-80%).</v>
      </c>
      <c r="O13" s="244"/>
    </row>
    <row r="14" spans="1:15" ht="80.099999999999994" customHeight="1" thickTop="1" thickBot="1" x14ac:dyDescent="0.25">
      <c r="A14" s="303"/>
      <c r="B14" s="489" t="str">
        <f>VLOOKUP("d7",Labels!$A$1:$C$1001,IF(LanguageSelection="FR",3,2),FALSE)</f>
        <v>D7
Productive use</v>
      </c>
      <c r="C14" s="49" t="s">
        <v>20</v>
      </c>
      <c r="D14" s="262" t="str">
        <f>'EAMD Scorecard'!D64</f>
        <v>Sales volume of productive use market(s)</v>
      </c>
      <c r="E14" s="33"/>
      <c r="F14" s="33"/>
      <c r="G14" s="260"/>
      <c r="H14" s="258"/>
      <c r="I14" s="256"/>
      <c r="J14" s="262" t="str">
        <f>VLOOKUP($C14,Benchmarks!$D$6:$DB$48,2+VLOOKUP($L$4,Calculation!$AV$3:$AW$12,2,FALSE)+IF(LanguageSelection="FR",51,0),FALSE)</f>
        <v>Only relevant for productive use of energy: Percentage of users who increase their revenue by using the product/service.</v>
      </c>
      <c r="K14" s="263" t="str">
        <f>VLOOKUP($C14,Benchmarks!$D$6:$DB$48,2+VLOOKUP($L$4,Calculation!$AV$3:$AW$12,2,FALSE)+_no_of_techs+IF(LanguageSelection="FR",51,0),FALSE)</f>
        <v>&lt;40% experience a growth in revenue. There is a low profit margin on the revenue generating products and/or poor market access</v>
      </c>
      <c r="L14" s="264" t="str">
        <f>VLOOKUP($C14,Benchmarks!$D$6:$DB$48,2+VLOOKUP($L$4,Calculation!$AV$3:$AW$12,2,FALSE)+_no_of_techs*2+IF(LanguageSelection="FR",51,0),FALSE)</f>
        <v>40-60% increase their revenue. The profit margin on the products is low-medium with better market access.</v>
      </c>
      <c r="M14" s="265" t="str">
        <f>VLOOKUP($C14,Benchmarks!$D$6:$DB$48,2+VLOOKUP($L$4,Calculation!$AV$3:$AW$12,2,FALSE)+_no_of_techs*3+IF(LanguageSelection="FR",51,0),FALSE)</f>
        <v>60-80% increase revenue from using the technology. It is common among productive end users.</v>
      </c>
      <c r="N14" s="266" t="str">
        <f>VLOOKUP($C14,Benchmarks!$D$6:$DB$48,2+VLOOKUP($L$4,Calculation!$AV$3:$AW$12,2,FALSE)+_no_of_techs*4+IF(LanguageSelection="FR",51,0),FALSE)</f>
        <v>Close to a 100% increase their revenue from using the technology</v>
      </c>
      <c r="O14" s="244"/>
    </row>
    <row r="15" spans="1:15" ht="80.099999999999994" customHeight="1" thickTop="1" thickBot="1" x14ac:dyDescent="0.25">
      <c r="A15" s="303"/>
      <c r="B15" s="489"/>
      <c r="C15" s="49" t="s">
        <v>21</v>
      </c>
      <c r="D15" s="262" t="str">
        <f>'EAMD Scorecard'!D65</f>
        <v>Economic capacity to invest in productive use</v>
      </c>
      <c r="E15" s="33"/>
      <c r="F15" s="33"/>
      <c r="G15" s="260"/>
      <c r="H15" s="258"/>
      <c r="I15" s="256"/>
      <c r="J15" s="262" t="str">
        <f>VLOOKUP($C15,Benchmarks!$D$6:$DB$48,2+VLOOKUP($L$4,Calculation!$AV$3:$AW$12,2,FALSE)+IF(LanguageSelection="FR",51,0),FALSE)</f>
        <v>Only relevant for productive use of energy: The capacity of end-users to invest in the technology and associated products needed to increase production.</v>
      </c>
      <c r="K15" s="263" t="str">
        <f>VLOOKUP($C15,Benchmarks!$D$6:$DB$48,2+VLOOKUP($L$4,Calculation!$AV$3:$AW$12,2,FALSE)+_no_of_techs+IF(LanguageSelection="FR",51,0),FALSE)</f>
        <v>Almost all end users do not have economic capacity to make investments  to increase production.</v>
      </c>
      <c r="L15" s="264" t="str">
        <f>VLOOKUP($C15,Benchmarks!$D$6:$DB$48,2+VLOOKUP($L$4,Calculation!$AV$3:$AW$12,2,FALSE)+_no_of_techs*2+IF(LanguageSelection="FR",51,0),FALSE)</f>
        <v>Some end users have limited economic capacity to invest in production.</v>
      </c>
      <c r="M15" s="265" t="str">
        <f>VLOOKUP($C15,Benchmarks!$D$6:$DB$48,2+VLOOKUP($L$4,Calculation!$AV$3:$AW$12,2,FALSE)+_no_of_techs*3+IF(LanguageSelection="FR",51,0),FALSE)</f>
        <v>A substantial share of end users have economic capacity to invest in production.</v>
      </c>
      <c r="N15" s="266" t="str">
        <f>VLOOKUP($C15,Benchmarks!$D$6:$DB$48,2+VLOOKUP($L$4,Calculation!$AV$3:$AW$12,2,FALSE)+_no_of_techs*4+IF(LanguageSelection="FR",51,0),FALSE)</f>
        <v>Almost all end users have economic capacity to invest in their production.</v>
      </c>
      <c r="O15" s="244"/>
    </row>
    <row r="16" spans="1:15" ht="12" customHeight="1" thickTop="1" x14ac:dyDescent="0.25">
      <c r="A16" s="244"/>
      <c r="B16" s="244"/>
      <c r="C16" s="244"/>
      <c r="D16" s="244"/>
      <c r="E16" s="254"/>
      <c r="F16" s="254"/>
      <c r="G16" s="254"/>
      <c r="H16" s="254"/>
      <c r="I16" s="246"/>
      <c r="J16" s="244"/>
      <c r="K16" s="244"/>
      <c r="L16" s="244"/>
      <c r="M16" s="244"/>
      <c r="N16" s="244"/>
      <c r="O16" s="244"/>
    </row>
    <row r="17" spans="1:8" ht="15" x14ac:dyDescent="0.25">
      <c r="A17" s="32"/>
      <c r="B17" s="32"/>
      <c r="C17" s="32"/>
      <c r="D17" s="32"/>
      <c r="E17" s="52"/>
      <c r="F17" s="52"/>
      <c r="G17" s="52"/>
      <c r="H17" s="52"/>
    </row>
    <row r="18" spans="1:8" ht="15" x14ac:dyDescent="0.25">
      <c r="A18" s="32"/>
      <c r="B18" s="32"/>
      <c r="C18" s="32"/>
      <c r="D18" s="32"/>
      <c r="E18" s="52"/>
      <c r="F18" s="52"/>
      <c r="G18" s="52"/>
      <c r="H18" s="52"/>
    </row>
    <row r="19" spans="1:8" ht="15" x14ac:dyDescent="0.25">
      <c r="A19" s="32"/>
      <c r="B19" s="32"/>
      <c r="C19" s="32"/>
      <c r="D19" s="32"/>
      <c r="E19" s="52"/>
      <c r="F19" s="52"/>
      <c r="G19" s="52"/>
      <c r="H19" s="52"/>
    </row>
    <row r="20" spans="1:8" ht="15" x14ac:dyDescent="0.25">
      <c r="A20" s="32"/>
      <c r="B20" s="32"/>
      <c r="C20" s="32"/>
      <c r="D20" s="32"/>
      <c r="E20" s="52"/>
      <c r="F20" s="52"/>
      <c r="G20" s="52"/>
      <c r="H20" s="52"/>
    </row>
    <row r="21" spans="1:8" ht="15" x14ac:dyDescent="0.25">
      <c r="A21" s="32"/>
      <c r="B21" s="32"/>
      <c r="C21" s="32"/>
      <c r="D21" s="32"/>
      <c r="E21" s="52"/>
      <c r="F21" s="52"/>
      <c r="G21" s="52"/>
      <c r="H21" s="52"/>
    </row>
    <row r="22" spans="1:8" ht="15" x14ac:dyDescent="0.25">
      <c r="A22" s="32"/>
      <c r="B22" s="32"/>
      <c r="C22" s="32"/>
      <c r="D22" s="32"/>
      <c r="E22" s="52"/>
      <c r="F22" s="52"/>
      <c r="G22" s="52"/>
      <c r="H22" s="52"/>
    </row>
    <row r="23" spans="1:8" ht="15" x14ac:dyDescent="0.25">
      <c r="A23" s="32"/>
      <c r="B23" s="32"/>
      <c r="C23" s="32"/>
      <c r="D23" s="32"/>
      <c r="E23" s="52"/>
      <c r="F23" s="52"/>
      <c r="G23" s="52"/>
      <c r="H23" s="52"/>
    </row>
    <row r="24" spans="1:8" ht="15" x14ac:dyDescent="0.25">
      <c r="A24" s="32"/>
      <c r="B24" s="32"/>
      <c r="C24" s="32"/>
      <c r="D24" s="32"/>
      <c r="E24" s="52"/>
      <c r="F24" s="52"/>
      <c r="G24" s="52"/>
      <c r="H24" s="52"/>
    </row>
    <row r="25" spans="1:8" ht="15" x14ac:dyDescent="0.25">
      <c r="A25" s="32"/>
      <c r="B25" s="32"/>
      <c r="C25" s="32"/>
      <c r="D25" s="32"/>
      <c r="F25" s="52"/>
      <c r="G25" s="52"/>
      <c r="H25" s="52"/>
    </row>
    <row r="26" spans="1:8" ht="15" x14ac:dyDescent="0.25">
      <c r="A26" s="32"/>
      <c r="B26" s="32"/>
      <c r="C26" s="32"/>
      <c r="D26" s="32"/>
      <c r="F26" s="52"/>
      <c r="G26" s="52"/>
      <c r="H26" s="52"/>
    </row>
    <row r="27" spans="1:8" ht="15" x14ac:dyDescent="0.25">
      <c r="A27" s="32"/>
      <c r="B27" s="32"/>
      <c r="C27" s="32"/>
      <c r="D27" s="32"/>
      <c r="F27" s="52"/>
      <c r="G27" s="52"/>
      <c r="H27" s="52"/>
    </row>
    <row r="28" spans="1:8" ht="15" x14ac:dyDescent="0.25">
      <c r="A28" s="32"/>
      <c r="B28" s="32"/>
      <c r="C28" s="32"/>
      <c r="D28" s="32"/>
      <c r="F28" s="52"/>
      <c r="G28" s="52"/>
      <c r="H28" s="52"/>
    </row>
    <row r="29" spans="1:8" ht="15" x14ac:dyDescent="0.25">
      <c r="A29" s="32"/>
      <c r="B29" s="32"/>
      <c r="C29" s="32"/>
      <c r="D29" s="32"/>
      <c r="F29" s="52"/>
      <c r="G29" s="52"/>
      <c r="H29" s="52"/>
    </row>
    <row r="30" spans="1:8" ht="15" x14ac:dyDescent="0.25">
      <c r="A30" s="32"/>
      <c r="B30" s="32"/>
      <c r="C30" s="32"/>
      <c r="D30" s="32"/>
      <c r="F30" s="52"/>
      <c r="G30" s="52"/>
      <c r="H30" s="52"/>
    </row>
    <row r="31" spans="1:8" ht="15" x14ac:dyDescent="0.25">
      <c r="A31" s="32"/>
      <c r="B31" s="32"/>
      <c r="C31" s="32"/>
      <c r="D31" s="32"/>
      <c r="F31" s="52"/>
      <c r="G31" s="52"/>
      <c r="H31" s="52"/>
    </row>
    <row r="32" spans="1:8" ht="15" x14ac:dyDescent="0.25">
      <c r="A32" s="32"/>
      <c r="B32" s="32"/>
      <c r="C32" s="32"/>
      <c r="D32" s="32"/>
      <c r="F32" s="52"/>
      <c r="G32" s="52"/>
      <c r="H32" s="52"/>
    </row>
    <row r="33" spans="1:8" ht="15" x14ac:dyDescent="0.25">
      <c r="A33" s="32"/>
      <c r="B33" s="32"/>
      <c r="C33" s="32"/>
      <c r="D33" s="32"/>
      <c r="F33" s="52"/>
      <c r="G33" s="52"/>
      <c r="H33" s="52"/>
    </row>
    <row r="34" spans="1:8" ht="15" x14ac:dyDescent="0.25">
      <c r="A34" s="32"/>
      <c r="B34" s="32"/>
      <c r="C34" s="32"/>
      <c r="D34" s="32"/>
      <c r="F34" s="52"/>
      <c r="G34" s="52"/>
      <c r="H34" s="52"/>
    </row>
    <row r="35" spans="1:8" ht="15" x14ac:dyDescent="0.25">
      <c r="A35" s="32"/>
      <c r="B35" s="32"/>
      <c r="C35" s="32"/>
      <c r="D35" s="32"/>
      <c r="F35" s="52"/>
      <c r="G35" s="52"/>
      <c r="H35" s="52"/>
    </row>
    <row r="36" spans="1:8" ht="16.5" thickTop="1" thickBot="1" x14ac:dyDescent="0.3">
      <c r="A36" s="32"/>
      <c r="B36" s="32"/>
      <c r="C36" s="32"/>
      <c r="D36" s="32"/>
      <c r="F36" s="52"/>
      <c r="G36" s="52"/>
      <c r="H36" s="52"/>
    </row>
    <row r="37" spans="1:8" ht="15" x14ac:dyDescent="0.25">
      <c r="A37" s="32"/>
      <c r="B37" s="32"/>
      <c r="C37" s="32"/>
      <c r="D37" s="32"/>
      <c r="F37" s="52"/>
      <c r="G37" s="52"/>
      <c r="H37" s="52"/>
    </row>
    <row r="38" spans="1:8" ht="15" x14ac:dyDescent="0.25">
      <c r="A38" s="32"/>
      <c r="B38" s="32"/>
      <c r="C38" s="32"/>
      <c r="D38" s="32"/>
      <c r="F38" s="52"/>
      <c r="G38" s="52"/>
      <c r="H38" s="52"/>
    </row>
    <row r="39" spans="1:8" ht="15" x14ac:dyDescent="0.25">
      <c r="A39" s="32"/>
      <c r="B39" s="32"/>
      <c r="C39" s="32"/>
      <c r="D39" s="32"/>
      <c r="F39" s="52"/>
      <c r="G39" s="52"/>
      <c r="H39" s="52"/>
    </row>
    <row r="40" spans="1:8" ht="15" x14ac:dyDescent="0.25">
      <c r="A40" s="32"/>
      <c r="B40" s="32"/>
      <c r="C40" s="32"/>
      <c r="D40" s="32"/>
      <c r="F40" s="52"/>
      <c r="G40" s="52"/>
      <c r="H40" s="52"/>
    </row>
    <row r="41" spans="1:8" ht="15" x14ac:dyDescent="0.25">
      <c r="A41" s="32"/>
      <c r="B41" s="32"/>
      <c r="C41" s="32"/>
      <c r="D41" s="32"/>
      <c r="F41" s="52"/>
      <c r="G41" s="52"/>
      <c r="H41" s="52"/>
    </row>
    <row r="42" spans="1:8" ht="15" x14ac:dyDescent="0.25">
      <c r="A42" s="32"/>
      <c r="B42" s="32"/>
      <c r="C42" s="32"/>
      <c r="D42" s="32"/>
      <c r="F42" s="52"/>
      <c r="G42" s="52"/>
      <c r="H42" s="52"/>
    </row>
    <row r="43" spans="1:8" ht="15" x14ac:dyDescent="0.25">
      <c r="A43" s="32"/>
      <c r="B43" s="32"/>
      <c r="C43" s="32"/>
      <c r="D43" s="32"/>
      <c r="F43" s="52"/>
      <c r="G43" s="52"/>
      <c r="H43" s="52"/>
    </row>
    <row r="44" spans="1:8" ht="15" x14ac:dyDescent="0.25">
      <c r="A44" s="32"/>
      <c r="B44" s="32"/>
      <c r="C44" s="32"/>
      <c r="D44" s="32"/>
      <c r="F44" s="52"/>
      <c r="G44" s="52"/>
      <c r="H44" s="52"/>
    </row>
    <row r="45" spans="1:8" ht="15" x14ac:dyDescent="0.25">
      <c r="A45" s="32"/>
      <c r="B45" s="32"/>
      <c r="C45" s="32"/>
      <c r="D45" s="32"/>
      <c r="F45" s="52"/>
      <c r="G45" s="52"/>
      <c r="H45" s="52"/>
    </row>
    <row r="46" spans="1:8" ht="15" x14ac:dyDescent="0.25">
      <c r="A46" s="32"/>
      <c r="B46" s="32"/>
      <c r="C46" s="32"/>
      <c r="D46" s="32"/>
      <c r="F46" s="52"/>
      <c r="G46" s="52"/>
      <c r="H46" s="52"/>
    </row>
    <row r="47" spans="1:8" ht="15" x14ac:dyDescent="0.25">
      <c r="A47" s="32"/>
      <c r="B47" s="32"/>
      <c r="C47" s="32"/>
      <c r="D47" s="32"/>
      <c r="F47" s="52"/>
      <c r="G47" s="52"/>
      <c r="H47" s="52"/>
    </row>
    <row r="48" spans="1:8" ht="15" x14ac:dyDescent="0.25">
      <c r="A48" s="32"/>
      <c r="B48" s="32"/>
      <c r="C48" s="32"/>
      <c r="D48" s="32"/>
      <c r="F48" s="52"/>
      <c r="G48" s="52"/>
      <c r="H48" s="52"/>
    </row>
    <row r="49" spans="1:8" ht="15" x14ac:dyDescent="0.25">
      <c r="A49" s="32"/>
      <c r="B49" s="32"/>
      <c r="C49" s="32"/>
      <c r="D49" s="32"/>
      <c r="F49" s="52"/>
      <c r="G49" s="52"/>
      <c r="H49" s="52"/>
    </row>
    <row r="50" spans="1:8" ht="15" x14ac:dyDescent="0.25">
      <c r="A50" s="32"/>
      <c r="B50" s="32"/>
      <c r="C50" s="32"/>
      <c r="D50" s="32"/>
      <c r="F50" s="52"/>
      <c r="G50" s="52"/>
      <c r="H50" s="52"/>
    </row>
    <row r="51" spans="1:8" ht="15" x14ac:dyDescent="0.25">
      <c r="A51" s="32"/>
      <c r="B51" s="32"/>
      <c r="C51" s="32"/>
      <c r="D51" s="32"/>
      <c r="F51" s="52"/>
      <c r="G51" s="52"/>
      <c r="H51" s="52"/>
    </row>
    <row r="52" spans="1:8" ht="15" x14ac:dyDescent="0.25">
      <c r="A52" s="32"/>
      <c r="B52" s="32"/>
      <c r="C52" s="32"/>
      <c r="D52" s="32"/>
      <c r="F52" s="52"/>
      <c r="G52" s="52"/>
      <c r="H52" s="52"/>
    </row>
    <row r="53" spans="1:8" ht="15" x14ac:dyDescent="0.25">
      <c r="A53" s="32"/>
      <c r="B53" s="32"/>
      <c r="C53" s="32"/>
      <c r="D53" s="32"/>
      <c r="F53" s="52"/>
      <c r="G53" s="52"/>
      <c r="H53" s="52"/>
    </row>
    <row r="54" spans="1:8" ht="15" x14ac:dyDescent="0.25">
      <c r="A54" s="32"/>
      <c r="B54" s="32"/>
      <c r="C54" s="32"/>
      <c r="D54" s="32"/>
      <c r="F54" s="52"/>
      <c r="G54" s="52"/>
      <c r="H54" s="52"/>
    </row>
    <row r="55" spans="1:8" ht="15" x14ac:dyDescent="0.25">
      <c r="A55" s="32"/>
      <c r="B55" s="32"/>
      <c r="C55" s="32"/>
      <c r="D55" s="32"/>
      <c r="F55" s="52"/>
      <c r="G55" s="52"/>
      <c r="H55" s="52"/>
    </row>
    <row r="56" spans="1:8" ht="15" x14ac:dyDescent="0.25">
      <c r="A56" s="32"/>
      <c r="B56" s="32"/>
      <c r="C56" s="32"/>
      <c r="D56" s="32"/>
      <c r="F56" s="52"/>
      <c r="G56" s="52"/>
      <c r="H56" s="52"/>
    </row>
    <row r="57" spans="1:8" ht="15" x14ac:dyDescent="0.25">
      <c r="A57" s="32"/>
      <c r="B57" s="32"/>
      <c r="C57" s="32"/>
      <c r="D57" s="32"/>
      <c r="F57" s="52"/>
      <c r="G57" s="52"/>
      <c r="H57" s="52"/>
    </row>
    <row r="58" spans="1:8" ht="15" x14ac:dyDescent="0.25">
      <c r="A58" s="32"/>
      <c r="B58" s="32"/>
      <c r="C58" s="32"/>
      <c r="D58" s="32"/>
      <c r="F58" s="52"/>
      <c r="G58" s="52"/>
      <c r="H58" s="52"/>
    </row>
    <row r="59" spans="1:8" ht="15" x14ac:dyDescent="0.25">
      <c r="A59" s="32"/>
      <c r="B59" s="32"/>
      <c r="C59" s="32"/>
      <c r="D59" s="32"/>
      <c r="F59" s="52"/>
      <c r="G59" s="52"/>
      <c r="H59" s="52"/>
    </row>
    <row r="60" spans="1:8" ht="15" x14ac:dyDescent="0.25">
      <c r="A60" s="32"/>
      <c r="B60" s="32"/>
      <c r="C60" s="32"/>
      <c r="D60" s="32"/>
      <c r="F60" s="52"/>
      <c r="G60" s="52"/>
      <c r="H60" s="52"/>
    </row>
    <row r="61" spans="1:8" ht="15" x14ac:dyDescent="0.25">
      <c r="A61" s="32"/>
      <c r="B61" s="32"/>
      <c r="C61" s="32"/>
      <c r="D61" s="32"/>
      <c r="F61" s="52"/>
      <c r="G61" s="52"/>
      <c r="H61" s="52"/>
    </row>
    <row r="62" spans="1:8" ht="15" x14ac:dyDescent="0.25">
      <c r="A62" s="32"/>
      <c r="B62" s="32"/>
      <c r="C62" s="32"/>
      <c r="D62" s="32"/>
      <c r="F62" s="52"/>
      <c r="G62" s="52"/>
      <c r="H62" s="52"/>
    </row>
    <row r="63" spans="1:8" ht="15" x14ac:dyDescent="0.25">
      <c r="A63" s="32"/>
      <c r="B63" s="32"/>
      <c r="C63" s="32"/>
      <c r="D63" s="32"/>
      <c r="F63" s="52"/>
      <c r="G63" s="52"/>
      <c r="H63" s="52"/>
    </row>
    <row r="64" spans="1:8" ht="15" x14ac:dyDescent="0.25">
      <c r="A64" s="32"/>
      <c r="B64" s="32"/>
      <c r="C64" s="32"/>
      <c r="D64" s="32"/>
      <c r="F64" s="52"/>
      <c r="G64" s="52"/>
      <c r="H64" s="52"/>
    </row>
    <row r="65" spans="1:8" ht="15" x14ac:dyDescent="0.25">
      <c r="A65" s="32"/>
      <c r="B65" s="32"/>
      <c r="C65" s="32"/>
      <c r="D65" s="32"/>
      <c r="F65" s="52"/>
      <c r="G65" s="52"/>
      <c r="H65" s="52"/>
    </row>
    <row r="66" spans="1:8" ht="15" x14ac:dyDescent="0.25">
      <c r="A66" s="32"/>
      <c r="B66" s="32"/>
      <c r="C66" s="32"/>
      <c r="D66" s="32"/>
      <c r="F66" s="52"/>
      <c r="G66" s="52"/>
      <c r="H66" s="52"/>
    </row>
    <row r="67" spans="1:8" ht="15" x14ac:dyDescent="0.25">
      <c r="A67" s="32"/>
      <c r="B67" s="32"/>
      <c r="C67" s="32"/>
      <c r="D67" s="32"/>
      <c r="F67" s="52"/>
      <c r="G67" s="52"/>
      <c r="H67" s="52"/>
    </row>
    <row r="68" spans="1:8" ht="15" x14ac:dyDescent="0.25">
      <c r="A68" s="32"/>
      <c r="B68" s="32"/>
      <c r="C68" s="32"/>
      <c r="D68" s="32"/>
      <c r="F68" s="52"/>
      <c r="G68" s="52"/>
      <c r="H68" s="52"/>
    </row>
    <row r="69" spans="1:8" ht="15" x14ac:dyDescent="0.25">
      <c r="A69" s="32"/>
      <c r="B69" s="32"/>
      <c r="C69" s="32"/>
      <c r="D69" s="32"/>
      <c r="F69" s="52"/>
      <c r="G69" s="52"/>
      <c r="H69" s="52"/>
    </row>
    <row r="70" spans="1:8" ht="15" x14ac:dyDescent="0.25">
      <c r="A70" s="32"/>
      <c r="B70" s="32"/>
      <c r="C70" s="32"/>
      <c r="D70" s="32"/>
      <c r="F70" s="52"/>
      <c r="G70" s="52"/>
      <c r="H70" s="52"/>
    </row>
    <row r="71" spans="1:8" ht="15" x14ac:dyDescent="0.25">
      <c r="A71" s="32"/>
      <c r="B71" s="32"/>
      <c r="C71" s="32"/>
      <c r="D71" s="32"/>
      <c r="F71" s="52"/>
      <c r="G71" s="52"/>
      <c r="H71" s="52"/>
    </row>
    <row r="72" spans="1:8" ht="15" x14ac:dyDescent="0.25">
      <c r="A72" s="32"/>
      <c r="B72" s="32"/>
      <c r="C72" s="32"/>
      <c r="D72" s="32"/>
      <c r="F72" s="52"/>
      <c r="G72" s="52"/>
      <c r="H72" s="52"/>
    </row>
    <row r="73" spans="1:8" ht="15" x14ac:dyDescent="0.25">
      <c r="A73" s="32"/>
      <c r="B73" s="32"/>
      <c r="C73" s="32"/>
      <c r="D73" s="32"/>
      <c r="F73" s="52"/>
      <c r="G73" s="52"/>
      <c r="H73" s="52"/>
    </row>
    <row r="74" spans="1:8" ht="15" x14ac:dyDescent="0.25">
      <c r="A74" s="32"/>
      <c r="B74" s="32"/>
      <c r="C74" s="32"/>
      <c r="D74" s="32"/>
      <c r="F74" s="52"/>
      <c r="G74" s="52"/>
      <c r="H74" s="52"/>
    </row>
    <row r="75" spans="1:8" ht="15" x14ac:dyDescent="0.25">
      <c r="A75" s="32"/>
      <c r="B75" s="32"/>
      <c r="C75" s="32"/>
      <c r="D75" s="32"/>
      <c r="F75" s="52"/>
      <c r="G75" s="52"/>
      <c r="H75" s="52"/>
    </row>
    <row r="76" spans="1:8" ht="15" x14ac:dyDescent="0.25">
      <c r="A76" s="32"/>
      <c r="B76" s="32"/>
      <c r="C76" s="32"/>
      <c r="D76" s="32"/>
      <c r="F76" s="52"/>
      <c r="G76" s="52"/>
      <c r="H76" s="52"/>
    </row>
    <row r="77" spans="1:8" ht="15" x14ac:dyDescent="0.25">
      <c r="A77" s="32"/>
      <c r="B77" s="32"/>
      <c r="C77" s="32"/>
      <c r="D77" s="32"/>
      <c r="F77" s="52"/>
      <c r="G77" s="52"/>
      <c r="H77" s="52"/>
    </row>
    <row r="78" spans="1:8" ht="15" x14ac:dyDescent="0.25">
      <c r="A78" s="32"/>
      <c r="B78" s="32"/>
      <c r="C78" s="32"/>
      <c r="D78" s="32"/>
      <c r="F78" s="52"/>
      <c r="G78" s="52"/>
      <c r="H78" s="52"/>
    </row>
    <row r="79" spans="1:8" ht="15" x14ac:dyDescent="0.25">
      <c r="A79" s="32"/>
      <c r="B79" s="32"/>
      <c r="C79" s="32"/>
      <c r="D79" s="32"/>
      <c r="F79" s="52"/>
      <c r="G79" s="52"/>
      <c r="H79" s="52"/>
    </row>
    <row r="80" spans="1:8" ht="15" x14ac:dyDescent="0.25">
      <c r="A80" s="32"/>
      <c r="B80" s="32"/>
      <c r="C80" s="32"/>
      <c r="D80" s="32"/>
      <c r="F80" s="52"/>
      <c r="G80" s="52"/>
      <c r="H80" s="52"/>
    </row>
    <row r="81" spans="1:8" ht="15" x14ac:dyDescent="0.25">
      <c r="A81" s="32"/>
      <c r="B81" s="32"/>
      <c r="C81" s="32"/>
      <c r="D81" s="32"/>
      <c r="F81" s="52"/>
      <c r="G81" s="52"/>
      <c r="H81" s="52"/>
    </row>
    <row r="82" spans="1:8" ht="15" x14ac:dyDescent="0.25">
      <c r="A82" s="32"/>
      <c r="B82" s="32"/>
      <c r="C82" s="32"/>
      <c r="D82" s="32"/>
      <c r="F82" s="52"/>
      <c r="G82" s="52"/>
      <c r="H82" s="52"/>
    </row>
    <row r="83" spans="1:8" ht="15" x14ac:dyDescent="0.25">
      <c r="A83" s="32"/>
      <c r="B83" s="32"/>
      <c r="C83" s="32"/>
      <c r="D83" s="32"/>
      <c r="F83" s="52"/>
      <c r="G83" s="52"/>
      <c r="H83" s="52"/>
    </row>
    <row r="84" spans="1:8" ht="15" x14ac:dyDescent="0.25">
      <c r="A84" s="32"/>
      <c r="B84" s="32"/>
      <c r="C84" s="32"/>
      <c r="D84" s="32"/>
      <c r="F84" s="52"/>
      <c r="G84" s="52"/>
      <c r="H84" s="52"/>
    </row>
    <row r="85" spans="1:8" ht="15" x14ac:dyDescent="0.25">
      <c r="A85" s="32"/>
      <c r="B85" s="32"/>
      <c r="C85" s="32"/>
      <c r="D85" s="32"/>
      <c r="F85" s="52"/>
      <c r="G85" s="52"/>
      <c r="H85" s="52"/>
    </row>
    <row r="86" spans="1:8" ht="15" x14ac:dyDescent="0.25">
      <c r="A86" s="32"/>
      <c r="B86" s="32"/>
      <c r="C86" s="32"/>
      <c r="D86" s="32"/>
      <c r="F86" s="52"/>
      <c r="G86" s="52"/>
      <c r="H86" s="52"/>
    </row>
    <row r="87" spans="1:8" ht="15" x14ac:dyDescent="0.25">
      <c r="A87" s="32"/>
      <c r="B87" s="32"/>
      <c r="C87" s="32"/>
      <c r="D87" s="32"/>
      <c r="F87" s="52"/>
      <c r="G87" s="52"/>
      <c r="H87" s="52"/>
    </row>
    <row r="88" spans="1:8" ht="15" x14ac:dyDescent="0.25">
      <c r="A88" s="32"/>
      <c r="B88" s="32"/>
      <c r="C88" s="32"/>
      <c r="D88" s="32"/>
      <c r="F88" s="52"/>
      <c r="G88" s="52"/>
      <c r="H88" s="52"/>
    </row>
    <row r="89" spans="1:8" ht="15" x14ac:dyDescent="0.25">
      <c r="A89" s="32"/>
      <c r="B89" s="32"/>
      <c r="C89" s="32"/>
      <c r="D89" s="32"/>
      <c r="F89" s="52"/>
      <c r="G89" s="52"/>
      <c r="H89" s="52"/>
    </row>
    <row r="90" spans="1:8" ht="15" x14ac:dyDescent="0.25">
      <c r="A90" s="32"/>
      <c r="B90" s="32"/>
      <c r="C90" s="32"/>
      <c r="D90" s="32"/>
      <c r="F90" s="52"/>
      <c r="G90" s="52"/>
      <c r="H90" s="52"/>
    </row>
    <row r="91" spans="1:8" ht="15" x14ac:dyDescent="0.25">
      <c r="A91" s="32"/>
      <c r="B91" s="32"/>
      <c r="C91" s="32"/>
      <c r="D91" s="32"/>
      <c r="F91" s="52"/>
      <c r="G91" s="52"/>
      <c r="H91" s="52"/>
    </row>
    <row r="92" spans="1:8" ht="15" x14ac:dyDescent="0.25">
      <c r="A92" s="32"/>
      <c r="B92" s="32"/>
      <c r="C92" s="32"/>
      <c r="D92" s="32"/>
      <c r="F92" s="52"/>
      <c r="G92" s="52"/>
      <c r="H92" s="52"/>
    </row>
    <row r="93" spans="1:8" ht="15" x14ac:dyDescent="0.25">
      <c r="A93" s="32"/>
      <c r="B93" s="32"/>
      <c r="C93" s="32"/>
      <c r="D93" s="32"/>
      <c r="F93" s="52"/>
      <c r="G93" s="52"/>
      <c r="H93" s="52"/>
    </row>
    <row r="94" spans="1:8" ht="15" x14ac:dyDescent="0.25">
      <c r="A94" s="32"/>
      <c r="B94" s="32"/>
      <c r="C94" s="32"/>
      <c r="D94" s="32"/>
      <c r="F94" s="52"/>
      <c r="G94" s="52"/>
      <c r="H94" s="52"/>
    </row>
    <row r="95" spans="1:8" ht="15" x14ac:dyDescent="0.25">
      <c r="A95" s="32"/>
      <c r="B95" s="32"/>
      <c r="C95" s="32"/>
      <c r="D95" s="32"/>
      <c r="F95" s="52"/>
      <c r="G95" s="52"/>
      <c r="H95" s="52"/>
    </row>
    <row r="96" spans="1:8" ht="15" x14ac:dyDescent="0.25">
      <c r="A96" s="32"/>
      <c r="B96" s="32"/>
      <c r="C96" s="32"/>
      <c r="D96" s="32"/>
      <c r="F96" s="52"/>
      <c r="G96" s="52"/>
      <c r="H96" s="52"/>
    </row>
    <row r="97" spans="1:8" ht="15" x14ac:dyDescent="0.25">
      <c r="A97" s="32"/>
      <c r="B97" s="32"/>
      <c r="C97" s="32"/>
      <c r="D97" s="32"/>
      <c r="F97" s="52"/>
      <c r="G97" s="52"/>
      <c r="H97" s="52"/>
    </row>
    <row r="98" spans="1:8" ht="15" x14ac:dyDescent="0.25">
      <c r="A98" s="32"/>
      <c r="B98" s="32"/>
      <c r="C98" s="32"/>
      <c r="D98" s="32"/>
      <c r="F98" s="52"/>
      <c r="G98" s="52"/>
      <c r="H98" s="52"/>
    </row>
    <row r="99" spans="1:8" ht="15" x14ac:dyDescent="0.25">
      <c r="A99" s="32"/>
      <c r="B99" s="32"/>
      <c r="C99" s="32"/>
      <c r="D99" s="32"/>
      <c r="F99" s="52"/>
      <c r="G99" s="52"/>
      <c r="H99" s="52"/>
    </row>
    <row r="100" spans="1:8" ht="15" x14ac:dyDescent="0.25">
      <c r="A100" s="32"/>
      <c r="B100" s="32"/>
      <c r="C100" s="32"/>
      <c r="D100" s="32"/>
      <c r="F100" s="52"/>
      <c r="G100" s="52"/>
      <c r="H100" s="52"/>
    </row>
    <row r="101" spans="1:8" ht="15" x14ac:dyDescent="0.25">
      <c r="A101" s="32"/>
      <c r="B101" s="32"/>
      <c r="C101" s="32"/>
      <c r="D101" s="32"/>
      <c r="F101" s="52"/>
      <c r="G101" s="52"/>
      <c r="H101" s="52"/>
    </row>
    <row r="102" spans="1:8" ht="15" x14ac:dyDescent="0.25">
      <c r="A102" s="32"/>
      <c r="B102" s="32"/>
      <c r="C102" s="32"/>
      <c r="D102" s="32"/>
      <c r="F102" s="52"/>
      <c r="G102" s="52"/>
      <c r="H102" s="52"/>
    </row>
    <row r="103" spans="1:8" ht="15" x14ac:dyDescent="0.25">
      <c r="A103" s="32"/>
      <c r="B103" s="32"/>
      <c r="C103" s="32"/>
      <c r="D103" s="32"/>
      <c r="F103" s="52"/>
      <c r="G103" s="52"/>
      <c r="H103" s="52"/>
    </row>
    <row r="104" spans="1:8" ht="15" x14ac:dyDescent="0.25">
      <c r="A104" s="32"/>
      <c r="B104" s="32"/>
      <c r="C104" s="32"/>
      <c r="D104" s="32"/>
      <c r="F104" s="52"/>
      <c r="G104" s="52"/>
      <c r="H104" s="52"/>
    </row>
    <row r="105" spans="1:8" ht="15" x14ac:dyDescent="0.25">
      <c r="A105" s="32"/>
      <c r="B105" s="32"/>
      <c r="C105" s="32"/>
      <c r="D105" s="32"/>
      <c r="F105" s="52"/>
      <c r="G105" s="52"/>
      <c r="H105" s="52"/>
    </row>
    <row r="106" spans="1:8" ht="15" x14ac:dyDescent="0.25">
      <c r="A106" s="32"/>
      <c r="B106" s="32"/>
      <c r="C106" s="32"/>
      <c r="D106" s="32"/>
      <c r="F106" s="52"/>
      <c r="G106" s="52"/>
      <c r="H106" s="52"/>
    </row>
    <row r="107" spans="1:8" ht="15" x14ac:dyDescent="0.25">
      <c r="A107" s="32"/>
      <c r="B107" s="32"/>
      <c r="C107" s="32"/>
      <c r="D107" s="32"/>
      <c r="F107" s="52"/>
      <c r="G107" s="52"/>
      <c r="H107" s="52"/>
    </row>
    <row r="108" spans="1:8" ht="15" x14ac:dyDescent="0.25">
      <c r="A108" s="32"/>
      <c r="B108" s="32"/>
      <c r="C108" s="32"/>
      <c r="D108" s="32"/>
      <c r="F108" s="52"/>
      <c r="G108" s="52"/>
      <c r="H108" s="52"/>
    </row>
    <row r="109" spans="1:8" ht="15" x14ac:dyDescent="0.25">
      <c r="A109" s="32"/>
      <c r="B109" s="32"/>
      <c r="C109" s="32"/>
      <c r="D109" s="32"/>
      <c r="F109" s="52"/>
      <c r="G109" s="52"/>
      <c r="H109" s="52"/>
    </row>
    <row r="110" spans="1:8" ht="15" x14ac:dyDescent="0.25">
      <c r="A110" s="32"/>
      <c r="B110" s="32"/>
      <c r="C110" s="32"/>
      <c r="D110" s="32"/>
      <c r="F110" s="52"/>
      <c r="G110" s="52"/>
      <c r="H110" s="52"/>
    </row>
    <row r="111" spans="1:8" ht="15" x14ac:dyDescent="0.25">
      <c r="A111" s="32"/>
      <c r="B111" s="32"/>
      <c r="C111" s="32"/>
      <c r="D111" s="32"/>
      <c r="F111" s="52"/>
      <c r="G111" s="52"/>
      <c r="H111" s="52"/>
    </row>
    <row r="112" spans="1:8" ht="15" x14ac:dyDescent="0.25">
      <c r="A112" s="32"/>
      <c r="B112" s="32"/>
      <c r="C112" s="32"/>
      <c r="D112" s="32"/>
      <c r="F112" s="52"/>
      <c r="G112" s="52"/>
      <c r="H112" s="52"/>
    </row>
    <row r="113" spans="1:9" ht="15" x14ac:dyDescent="0.25">
      <c r="A113" s="32"/>
      <c r="B113" s="32"/>
      <c r="C113" s="32"/>
      <c r="D113" s="32"/>
      <c r="F113" s="52"/>
      <c r="G113" s="52"/>
      <c r="H113" s="52"/>
    </row>
    <row r="114" spans="1:9" ht="15" x14ac:dyDescent="0.25">
      <c r="A114" s="32"/>
      <c r="B114" s="32"/>
      <c r="C114" s="32"/>
      <c r="D114" s="32"/>
      <c r="F114" s="52"/>
      <c r="G114" s="52"/>
      <c r="H114" s="52"/>
    </row>
    <row r="115" spans="1:9" ht="15" x14ac:dyDescent="0.25">
      <c r="A115" s="32"/>
      <c r="B115" s="32"/>
      <c r="C115" s="32"/>
      <c r="D115" s="32"/>
      <c r="F115" s="52"/>
      <c r="G115" s="52"/>
      <c r="H115" s="52"/>
    </row>
    <row r="116" spans="1:9" ht="15" x14ac:dyDescent="0.25">
      <c r="A116" s="32"/>
      <c r="B116" s="32"/>
      <c r="C116" s="32"/>
      <c r="D116" s="32"/>
      <c r="F116" s="52"/>
      <c r="G116" s="52"/>
      <c r="H116" s="52"/>
    </row>
    <row r="117" spans="1:9" ht="15" x14ac:dyDescent="0.25">
      <c r="A117" s="32"/>
      <c r="B117" s="32"/>
      <c r="C117" s="32"/>
      <c r="D117" s="32"/>
      <c r="F117" s="52"/>
      <c r="G117" s="52"/>
      <c r="H117" s="52"/>
    </row>
    <row r="118" spans="1:9" ht="15" x14ac:dyDescent="0.25">
      <c r="A118" s="32"/>
      <c r="B118" s="32"/>
      <c r="C118" s="32"/>
      <c r="D118" s="32"/>
      <c r="F118" s="52"/>
      <c r="G118" s="52"/>
      <c r="H118" s="52"/>
    </row>
    <row r="119" spans="1:9" ht="15" x14ac:dyDescent="0.25">
      <c r="A119" s="32"/>
      <c r="B119" s="32"/>
      <c r="C119" s="32"/>
      <c r="D119" s="32"/>
      <c r="F119" s="52"/>
      <c r="G119" s="52"/>
      <c r="H119" s="52"/>
    </row>
    <row r="120" spans="1:9" ht="15" x14ac:dyDescent="0.25">
      <c r="A120" s="32"/>
      <c r="B120" s="32"/>
      <c r="C120" s="32"/>
      <c r="D120" s="32"/>
      <c r="F120" s="52"/>
      <c r="G120" s="52"/>
      <c r="H120" s="52"/>
    </row>
    <row r="121" spans="1:9" ht="15" x14ac:dyDescent="0.25">
      <c r="A121" s="32"/>
      <c r="B121" s="32"/>
      <c r="C121" s="32"/>
      <c r="D121" s="32"/>
      <c r="F121" s="52"/>
      <c r="G121" s="52"/>
      <c r="H121" s="52"/>
    </row>
    <row r="122" spans="1:9" ht="15" x14ac:dyDescent="0.25">
      <c r="A122" s="32"/>
      <c r="B122" s="32"/>
      <c r="C122" s="32"/>
      <c r="D122" s="32"/>
      <c r="F122" s="52"/>
      <c r="G122" s="52"/>
      <c r="H122" s="52"/>
    </row>
    <row r="123" spans="1:9" ht="15" x14ac:dyDescent="0.25">
      <c r="A123" s="32"/>
      <c r="B123" s="32"/>
      <c r="C123" s="32"/>
      <c r="D123" s="32"/>
      <c r="F123" s="52"/>
      <c r="G123" s="52"/>
      <c r="H123" s="52"/>
    </row>
    <row r="124" spans="1:9" ht="15" x14ac:dyDescent="0.25">
      <c r="A124" s="32"/>
      <c r="B124" s="32"/>
      <c r="C124" s="32"/>
      <c r="D124" s="32"/>
    </row>
    <row r="125" spans="1:9" ht="15" x14ac:dyDescent="0.25">
      <c r="A125" s="32"/>
      <c r="B125" s="32"/>
      <c r="C125" s="32"/>
      <c r="D125" s="32"/>
    </row>
    <row r="126" spans="1:9" ht="15" x14ac:dyDescent="0.25">
      <c r="A126" s="32"/>
      <c r="B126" s="32"/>
      <c r="C126" s="32"/>
      <c r="D126" s="32"/>
    </row>
    <row r="127" spans="1:9" ht="12.75" x14ac:dyDescent="0.2">
      <c r="A127" s="32"/>
      <c r="B127" s="32"/>
      <c r="C127" s="32"/>
      <c r="D127" s="32"/>
      <c r="I127" s="32"/>
    </row>
    <row r="128" spans="1:9" ht="12.75" x14ac:dyDescent="0.2">
      <c r="A128" s="32"/>
      <c r="B128" s="32"/>
      <c r="C128" s="32"/>
      <c r="D128" s="32"/>
      <c r="I128" s="32"/>
    </row>
    <row r="129" s="32" customFormat="1" ht="12.75" x14ac:dyDescent="0.2"/>
    <row r="130" s="32" customFormat="1" ht="12.75" x14ac:dyDescent="0.2"/>
    <row r="131" s="32" customFormat="1" ht="12.75" x14ac:dyDescent="0.2"/>
    <row r="132" s="32" customFormat="1" ht="12.75" x14ac:dyDescent="0.2"/>
    <row r="133" s="32" customFormat="1" ht="12.75" x14ac:dyDescent="0.2"/>
    <row r="134" s="32" customFormat="1" ht="12.75" x14ac:dyDescent="0.2"/>
    <row r="135" s="32" customFormat="1" ht="12.75" x14ac:dyDescent="0.2"/>
    <row r="136" s="32" customFormat="1" ht="12.75" x14ac:dyDescent="0.2"/>
    <row r="137" s="32" customFormat="1" ht="12.75" x14ac:dyDescent="0.2"/>
    <row r="138" s="32" customFormat="1" ht="12.75" x14ac:dyDescent="0.2"/>
    <row r="139" s="32" customFormat="1" ht="12.75" x14ac:dyDescent="0.2"/>
    <row r="140" s="32" customFormat="1" ht="12.75" x14ac:dyDescent="0.2"/>
    <row r="141" s="32" customFormat="1" ht="12.75" x14ac:dyDescent="0.2"/>
    <row r="142" s="32" customFormat="1" ht="12.75" x14ac:dyDescent="0.2"/>
    <row r="143" s="32" customFormat="1" ht="12.75" x14ac:dyDescent="0.2"/>
    <row r="144" s="32" customFormat="1" ht="12.75" x14ac:dyDescent="0.2"/>
    <row r="145" s="32" customFormat="1" ht="12.75" x14ac:dyDescent="0.2"/>
    <row r="146" s="32" customFormat="1" ht="12.75" x14ac:dyDescent="0.2"/>
    <row r="147" s="32" customFormat="1" ht="12.75" x14ac:dyDescent="0.2"/>
    <row r="148" s="32" customFormat="1" ht="12.75" x14ac:dyDescent="0.2"/>
    <row r="149" s="32" customFormat="1" ht="12.75" x14ac:dyDescent="0.2"/>
    <row r="150" s="32" customFormat="1" ht="12.75" x14ac:dyDescent="0.2"/>
    <row r="151" s="32" customFormat="1" ht="12.75" x14ac:dyDescent="0.2"/>
    <row r="152" s="32" customFormat="1" ht="12.75" x14ac:dyDescent="0.2"/>
    <row r="153" s="32" customFormat="1" ht="12.75" x14ac:dyDescent="0.2"/>
    <row r="154" s="32" customFormat="1" ht="12.75" x14ac:dyDescent="0.2"/>
    <row r="155" s="32" customFormat="1" ht="12.75" x14ac:dyDescent="0.2"/>
    <row r="156" s="32" customFormat="1" ht="12.75" x14ac:dyDescent="0.2"/>
    <row r="157" s="32" customFormat="1" ht="12.75" x14ac:dyDescent="0.2"/>
    <row r="158" s="32" customFormat="1" ht="12.75" x14ac:dyDescent="0.2"/>
    <row r="159" s="32" customFormat="1" ht="12.75" x14ac:dyDescent="0.2"/>
    <row r="160" s="32" customFormat="1" ht="12.75" x14ac:dyDescent="0.2"/>
    <row r="161" s="32" customFormat="1" ht="12.75" x14ac:dyDescent="0.2"/>
    <row r="162" s="32" customFormat="1" ht="12.75" x14ac:dyDescent="0.2"/>
    <row r="163" s="32" customFormat="1" ht="12.75" x14ac:dyDescent="0.2"/>
    <row r="164" s="32" customFormat="1" ht="12.75" x14ac:dyDescent="0.2"/>
    <row r="165" s="32" customFormat="1" ht="12.75" x14ac:dyDescent="0.2"/>
    <row r="166" s="32" customFormat="1" ht="12.75" x14ac:dyDescent="0.2"/>
    <row r="167" s="32" customFormat="1" ht="12.75" x14ac:dyDescent="0.2"/>
    <row r="168" s="32" customFormat="1" ht="12.75" x14ac:dyDescent="0.2"/>
    <row r="169" s="32" customFormat="1" ht="12.75" x14ac:dyDescent="0.2"/>
    <row r="170" s="32" customFormat="1" ht="12.75" x14ac:dyDescent="0.2"/>
    <row r="171" s="32" customFormat="1" ht="12.75" x14ac:dyDescent="0.2"/>
    <row r="172" s="32" customFormat="1" ht="12.75" x14ac:dyDescent="0.2"/>
    <row r="173" s="32" customFormat="1" ht="12.75" x14ac:dyDescent="0.2"/>
    <row r="174" s="32" customFormat="1" ht="12.75" x14ac:dyDescent="0.2"/>
    <row r="175" s="32" customFormat="1" ht="12.75" x14ac:dyDescent="0.2"/>
    <row r="176" s="32" customFormat="1" ht="12.75" x14ac:dyDescent="0.2"/>
    <row r="177" s="32" customFormat="1" ht="12.75" x14ac:dyDescent="0.2"/>
    <row r="178" s="32" customFormat="1" ht="12.75" x14ac:dyDescent="0.2"/>
    <row r="179" s="32" customFormat="1" ht="12.75" x14ac:dyDescent="0.2"/>
    <row r="180" s="32" customFormat="1" ht="12.75" x14ac:dyDescent="0.2"/>
    <row r="181" s="32" customFormat="1" ht="12.75" x14ac:dyDescent="0.2"/>
    <row r="182" s="32" customFormat="1" ht="12.75" x14ac:dyDescent="0.2"/>
    <row r="183" s="32" customFormat="1" ht="12.75" x14ac:dyDescent="0.2"/>
    <row r="184" s="32" customFormat="1" ht="12.75" x14ac:dyDescent="0.2"/>
    <row r="185" s="32" customFormat="1" ht="12.75" x14ac:dyDescent="0.2"/>
    <row r="186" s="32" customFormat="1" ht="12.75" x14ac:dyDescent="0.2"/>
    <row r="187" s="32" customFormat="1" ht="12.75" x14ac:dyDescent="0.2"/>
    <row r="188" s="32" customFormat="1" ht="12.75" x14ac:dyDescent="0.2"/>
    <row r="189" s="32" customFormat="1" ht="12.75" x14ac:dyDescent="0.2"/>
    <row r="190" s="32" customFormat="1" ht="12.75" x14ac:dyDescent="0.2"/>
    <row r="191" s="32" customFormat="1" ht="12.75" x14ac:dyDescent="0.2"/>
    <row r="192" s="32" customFormat="1" ht="12.75" x14ac:dyDescent="0.2"/>
    <row r="193" s="32" customFormat="1" ht="12.75" x14ac:dyDescent="0.2"/>
    <row r="194" s="32" customFormat="1" ht="12.75" x14ac:dyDescent="0.2"/>
    <row r="195" s="32" customFormat="1" ht="12.75" x14ac:dyDescent="0.2"/>
    <row r="196" s="32" customFormat="1" ht="12.75" x14ac:dyDescent="0.2"/>
    <row r="197" s="32" customFormat="1" ht="12.75" x14ac:dyDescent="0.2"/>
    <row r="198" s="32" customFormat="1" ht="12.75" x14ac:dyDescent="0.2"/>
    <row r="199" s="32" customFormat="1" ht="12.75" x14ac:dyDescent="0.2"/>
    <row r="200" s="32" customFormat="1" ht="12.75" x14ac:dyDescent="0.2"/>
    <row r="201" s="32" customFormat="1" ht="12.75" x14ac:dyDescent="0.2"/>
    <row r="202" s="32" customFormat="1" ht="12.75" x14ac:dyDescent="0.2"/>
    <row r="203" s="32" customFormat="1" ht="12.75" x14ac:dyDescent="0.2"/>
    <row r="204" s="32" customFormat="1" ht="12.75" x14ac:dyDescent="0.2"/>
    <row r="205" s="32" customFormat="1" ht="12.75" x14ac:dyDescent="0.2"/>
    <row r="206" s="32" customFormat="1" ht="12.75" x14ac:dyDescent="0.2"/>
    <row r="207" s="32" customFormat="1" ht="12.75" x14ac:dyDescent="0.2"/>
    <row r="208" s="32" customFormat="1" ht="12.75" x14ac:dyDescent="0.2"/>
    <row r="209" s="32" customFormat="1" ht="12.75" x14ac:dyDescent="0.2"/>
    <row r="210" s="32" customFormat="1" ht="12.75" x14ac:dyDescent="0.2"/>
    <row r="211" s="32" customFormat="1" ht="12.75" x14ac:dyDescent="0.2"/>
    <row r="212" s="32" customFormat="1" ht="12.75" x14ac:dyDescent="0.2"/>
    <row r="213" s="32" customFormat="1" ht="12.75" x14ac:dyDescent="0.2"/>
    <row r="214" s="32" customFormat="1" ht="12.75" x14ac:dyDescent="0.2"/>
    <row r="215" s="32" customFormat="1" ht="12.75" x14ac:dyDescent="0.2"/>
    <row r="216" s="32" customFormat="1" ht="12.75" x14ac:dyDescent="0.2"/>
    <row r="217" s="32" customFormat="1" ht="12.75" x14ac:dyDescent="0.2"/>
    <row r="218" s="32" customFormat="1" ht="12.75" x14ac:dyDescent="0.2"/>
    <row r="219" s="32" customFormat="1" ht="12.75" x14ac:dyDescent="0.2"/>
    <row r="220" s="32" customFormat="1" ht="12.75" x14ac:dyDescent="0.2"/>
    <row r="221" s="32" customFormat="1" ht="12.75" x14ac:dyDescent="0.2"/>
    <row r="222" s="32" customFormat="1" ht="12.75" x14ac:dyDescent="0.2"/>
    <row r="223" s="32" customFormat="1" ht="12.75" x14ac:dyDescent="0.2"/>
    <row r="224" s="32" customFormat="1" ht="12.75" x14ac:dyDescent="0.2"/>
    <row r="225" s="32" customFormat="1" ht="12.75" x14ac:dyDescent="0.2"/>
    <row r="226" s="32" customFormat="1" ht="12.75" x14ac:dyDescent="0.2"/>
    <row r="227" s="32" customFormat="1" ht="12.75" x14ac:dyDescent="0.2"/>
    <row r="228" s="32" customFormat="1" ht="12.75" x14ac:dyDescent="0.2"/>
    <row r="229" s="32" customFormat="1" ht="12.75" x14ac:dyDescent="0.2"/>
    <row r="230" s="32" customFormat="1" ht="12.75" x14ac:dyDescent="0.2"/>
    <row r="231" s="32" customFormat="1" ht="12.75" x14ac:dyDescent="0.2"/>
    <row r="232" s="32" customFormat="1" ht="12.75" x14ac:dyDescent="0.2"/>
    <row r="233" s="32" customFormat="1" ht="12.75" x14ac:dyDescent="0.2"/>
    <row r="234" s="32" customFormat="1" ht="12.75" x14ac:dyDescent="0.2"/>
    <row r="235" s="32" customFormat="1" ht="12.75" x14ac:dyDescent="0.2"/>
    <row r="236" s="32" customFormat="1" ht="12.75" x14ac:dyDescent="0.2"/>
    <row r="237" s="32" customFormat="1" ht="12.75" x14ac:dyDescent="0.2"/>
    <row r="238" s="32" customFormat="1" ht="12.75" x14ac:dyDescent="0.2"/>
    <row r="239" s="32" customFormat="1" ht="12.75" x14ac:dyDescent="0.2"/>
    <row r="240" s="32" customFormat="1" ht="12.75" x14ac:dyDescent="0.2"/>
    <row r="241" s="32" customFormat="1" ht="12.75" x14ac:dyDescent="0.2"/>
    <row r="242" s="32" customFormat="1" ht="12.75" x14ac:dyDescent="0.2"/>
    <row r="243" s="32" customFormat="1" ht="12.75" x14ac:dyDescent="0.2"/>
    <row r="244" s="32" customFormat="1" ht="12.75" x14ac:dyDescent="0.2"/>
    <row r="245" s="32" customFormat="1" ht="12.75" x14ac:dyDescent="0.2"/>
    <row r="246" s="32" customFormat="1" ht="12.75" x14ac:dyDescent="0.2"/>
    <row r="247" s="32" customFormat="1" ht="12.75" x14ac:dyDescent="0.2"/>
    <row r="248" s="32" customFormat="1" ht="12.75" x14ac:dyDescent="0.2"/>
    <row r="249" s="32" customFormat="1" ht="12.75" x14ac:dyDescent="0.2"/>
    <row r="250" s="32" customFormat="1" ht="12.75" x14ac:dyDescent="0.2"/>
    <row r="251" s="32" customFormat="1" ht="12.75" x14ac:dyDescent="0.2"/>
    <row r="252" s="32" customFormat="1" ht="12.75" x14ac:dyDescent="0.2"/>
    <row r="253" s="32" customFormat="1" ht="12.75" x14ac:dyDescent="0.2"/>
    <row r="254" s="32" customFormat="1" ht="12.75" x14ac:dyDescent="0.2"/>
    <row r="255" s="32" customFormat="1" ht="12.75" x14ac:dyDescent="0.2"/>
    <row r="256" s="32" customFormat="1" ht="12.75" x14ac:dyDescent="0.2"/>
    <row r="257" s="32" customFormat="1" ht="12.75" x14ac:dyDescent="0.2"/>
    <row r="258" s="32" customFormat="1" ht="12.75" x14ac:dyDescent="0.2"/>
    <row r="259" s="32" customFormat="1" ht="12.75" x14ac:dyDescent="0.2"/>
    <row r="260" s="32" customFormat="1" ht="12.75" x14ac:dyDescent="0.2"/>
    <row r="261" s="32" customFormat="1" ht="12.75" x14ac:dyDescent="0.2"/>
    <row r="262" s="32" customFormat="1" ht="12.75" x14ac:dyDescent="0.2"/>
    <row r="263" s="32" customFormat="1" ht="12.75" x14ac:dyDescent="0.2"/>
    <row r="264" s="32" customFormat="1" ht="12.75" x14ac:dyDescent="0.2"/>
    <row r="265" s="32" customFormat="1" ht="12.75" x14ac:dyDescent="0.2"/>
    <row r="266" s="32" customFormat="1" ht="12.75" x14ac:dyDescent="0.2"/>
    <row r="267" s="32" customFormat="1" ht="12.75" x14ac:dyDescent="0.2"/>
    <row r="268" s="32" customFormat="1" ht="12.75" x14ac:dyDescent="0.2"/>
    <row r="269" s="32" customFormat="1" ht="12.75" x14ac:dyDescent="0.2"/>
    <row r="270" s="32" customFormat="1" ht="12.75" x14ac:dyDescent="0.2"/>
    <row r="271" s="32" customFormat="1" ht="12.75" x14ac:dyDescent="0.2"/>
    <row r="272" s="32" customFormat="1" ht="12.75" x14ac:dyDescent="0.2"/>
    <row r="273" s="32" customFormat="1" ht="12.75" x14ac:dyDescent="0.2"/>
    <row r="274" s="32" customFormat="1" ht="12.75" x14ac:dyDescent="0.2"/>
    <row r="275" s="32" customFormat="1" ht="12.75" x14ac:dyDescent="0.2"/>
    <row r="276" s="32" customFormat="1" ht="12.75" x14ac:dyDescent="0.2"/>
    <row r="277" s="32" customFormat="1" ht="12.75" x14ac:dyDescent="0.2"/>
    <row r="278" s="32" customFormat="1" ht="12.75" x14ac:dyDescent="0.2"/>
    <row r="279" s="32" customFormat="1" ht="12.75" x14ac:dyDescent="0.2"/>
    <row r="280" s="32" customFormat="1" ht="12.75" x14ac:dyDescent="0.2"/>
    <row r="281" s="32" customFormat="1" ht="12.75" x14ac:dyDescent="0.2"/>
    <row r="282" s="32" customFormat="1" ht="12.75" x14ac:dyDescent="0.2"/>
    <row r="283" s="32" customFormat="1" ht="12.75" x14ac:dyDescent="0.2"/>
    <row r="284" s="32" customFormat="1" ht="12.75" x14ac:dyDescent="0.2"/>
    <row r="285" s="32" customFormat="1" ht="12.75" x14ac:dyDescent="0.2"/>
    <row r="286" s="32" customFormat="1" ht="12.75" x14ac:dyDescent="0.2"/>
    <row r="287" s="32" customFormat="1" ht="12.75" x14ac:dyDescent="0.2"/>
    <row r="288" s="32" customFormat="1" ht="12.75" x14ac:dyDescent="0.2"/>
    <row r="289" s="32" customFormat="1" ht="12.75" x14ac:dyDescent="0.2"/>
    <row r="290" s="32" customFormat="1" ht="12.75" x14ac:dyDescent="0.2"/>
    <row r="291" s="32" customFormat="1" ht="12.75" x14ac:dyDescent="0.2"/>
    <row r="292" s="32" customFormat="1" ht="12.75" x14ac:dyDescent="0.2"/>
    <row r="293" s="32" customFormat="1" ht="12.75" x14ac:dyDescent="0.2"/>
    <row r="294" s="32" customFormat="1" ht="12.75" x14ac:dyDescent="0.2"/>
    <row r="295" s="32" customFormat="1" ht="12.75" x14ac:dyDescent="0.2"/>
    <row r="296" s="32" customFormat="1" ht="12.75" x14ac:dyDescent="0.2"/>
    <row r="297" s="32" customFormat="1" ht="12.75" x14ac:dyDescent="0.2"/>
    <row r="298" s="32" customFormat="1" ht="12.75" x14ac:dyDescent="0.2"/>
    <row r="299" s="32" customFormat="1" ht="12.75" x14ac:dyDescent="0.2"/>
    <row r="300" s="32" customFormat="1" ht="12.75" x14ac:dyDescent="0.2"/>
    <row r="301" s="32" customFormat="1" ht="12.75" x14ac:dyDescent="0.2"/>
    <row r="302" s="32" customFormat="1" ht="12.75" x14ac:dyDescent="0.2"/>
    <row r="303" s="32" customFormat="1" ht="12.75" x14ac:dyDescent="0.2"/>
    <row r="304" s="32" customFormat="1" ht="12.75" x14ac:dyDescent="0.2"/>
    <row r="305" s="32" customFormat="1" ht="12.75" x14ac:dyDescent="0.2"/>
    <row r="306" s="32" customFormat="1" ht="12.75" x14ac:dyDescent="0.2"/>
    <row r="307" s="32" customFormat="1" ht="12.75" x14ac:dyDescent="0.2"/>
    <row r="308" s="32" customFormat="1" ht="12.75" x14ac:dyDescent="0.2"/>
    <row r="309" s="32" customFormat="1" ht="12.75" x14ac:dyDescent="0.2"/>
    <row r="310" s="32" customFormat="1" ht="12.75" x14ac:dyDescent="0.2"/>
    <row r="311" s="32" customFormat="1" ht="12.75" x14ac:dyDescent="0.2"/>
    <row r="312" s="32" customFormat="1" ht="12.75" x14ac:dyDescent="0.2"/>
    <row r="313" s="32" customFormat="1" ht="12.75" x14ac:dyDescent="0.2"/>
    <row r="314" s="32" customFormat="1" ht="12.75" x14ac:dyDescent="0.2"/>
    <row r="315" s="32" customFormat="1" ht="12.75" x14ac:dyDescent="0.2"/>
    <row r="316" s="32" customFormat="1" ht="12.75" x14ac:dyDescent="0.2"/>
    <row r="317" s="32" customFormat="1" ht="12.75" x14ac:dyDescent="0.2"/>
    <row r="318" s="32" customFormat="1" ht="12.75" x14ac:dyDescent="0.2"/>
    <row r="319" s="32" customFormat="1" ht="12.75" x14ac:dyDescent="0.2"/>
    <row r="320" s="32" customFormat="1" ht="12.75" x14ac:dyDescent="0.2"/>
    <row r="321" s="32" customFormat="1" ht="12.75" x14ac:dyDescent="0.2"/>
    <row r="322" s="32" customFormat="1" ht="12.75" x14ac:dyDescent="0.2"/>
    <row r="323" s="32" customFormat="1" ht="12.75" x14ac:dyDescent="0.2"/>
    <row r="324" s="32" customFormat="1" ht="12.75" x14ac:dyDescent="0.2"/>
    <row r="325" s="32" customFormat="1" ht="12.75" x14ac:dyDescent="0.2"/>
    <row r="326" s="32" customFormat="1" ht="12.75" x14ac:dyDescent="0.2"/>
    <row r="327" s="32" customFormat="1" ht="12.75" x14ac:dyDescent="0.2"/>
    <row r="328" s="32" customFormat="1" ht="12.75" x14ac:dyDescent="0.2"/>
    <row r="329" s="32" customFormat="1" ht="12.75" x14ac:dyDescent="0.2"/>
    <row r="330" s="32" customFormat="1" ht="12.75" x14ac:dyDescent="0.2"/>
    <row r="331" s="32" customFormat="1" ht="12.75" x14ac:dyDescent="0.2"/>
    <row r="332" s="32" customFormat="1" ht="12.75" x14ac:dyDescent="0.2"/>
    <row r="333" s="32" customFormat="1" ht="12.75" x14ac:dyDescent="0.2"/>
    <row r="334" s="32" customFormat="1" ht="12.75" x14ac:dyDescent="0.2"/>
    <row r="335" s="32" customFormat="1" ht="12.75" x14ac:dyDescent="0.2"/>
    <row r="336" s="32" customFormat="1" ht="12.75" x14ac:dyDescent="0.2"/>
    <row r="337" s="32" customFormat="1" ht="12.75" x14ac:dyDescent="0.2"/>
    <row r="338" s="32" customFormat="1" ht="12.75" x14ac:dyDescent="0.2"/>
    <row r="339" s="32" customFormat="1" ht="12.75" x14ac:dyDescent="0.2"/>
    <row r="340" s="32" customFormat="1" ht="12.75" x14ac:dyDescent="0.2"/>
    <row r="341" s="32" customFormat="1" ht="12.75" x14ac:dyDescent="0.2"/>
    <row r="342" s="32" customFormat="1" ht="12.75" x14ac:dyDescent="0.2"/>
    <row r="343" s="32" customFormat="1" ht="12.75" x14ac:dyDescent="0.2"/>
    <row r="344" s="32" customFormat="1" ht="12.75" x14ac:dyDescent="0.2"/>
    <row r="345" s="32" customFormat="1" ht="12.75" x14ac:dyDescent="0.2"/>
    <row r="346" s="32" customFormat="1" ht="12.75" x14ac:dyDescent="0.2"/>
    <row r="347" s="32" customFormat="1" ht="12.75" x14ac:dyDescent="0.2"/>
    <row r="348" s="32" customFormat="1" ht="12.75" x14ac:dyDescent="0.2"/>
    <row r="349" s="32" customFormat="1" ht="12.75" x14ac:dyDescent="0.2"/>
    <row r="350" s="32" customFormat="1" ht="12.75" x14ac:dyDescent="0.2"/>
    <row r="351" s="32" customFormat="1" ht="12.75" x14ac:dyDescent="0.2"/>
    <row r="352" s="32" customFormat="1" ht="12.75" x14ac:dyDescent="0.2"/>
    <row r="353" s="32" customFormat="1" ht="12.75" x14ac:dyDescent="0.2"/>
    <row r="354" s="32" customFormat="1" ht="12.75" x14ac:dyDescent="0.2"/>
    <row r="355" s="32" customFormat="1" ht="12.75" x14ac:dyDescent="0.2"/>
    <row r="356" s="32" customFormat="1" ht="12.75" x14ac:dyDescent="0.2"/>
    <row r="357" s="32" customFormat="1" ht="12.75" x14ac:dyDescent="0.2"/>
    <row r="358" s="32" customFormat="1" ht="12.75" x14ac:dyDescent="0.2"/>
    <row r="359" s="32" customFormat="1" ht="12.75" x14ac:dyDescent="0.2"/>
    <row r="360" s="32" customFormat="1" ht="12.75" x14ac:dyDescent="0.2"/>
    <row r="361" s="32" customFormat="1" ht="12.75" x14ac:dyDescent="0.2"/>
    <row r="362" s="32" customFormat="1" ht="12.75" x14ac:dyDescent="0.2"/>
    <row r="363" s="32" customFormat="1" ht="12.75" x14ac:dyDescent="0.2"/>
    <row r="364" s="32" customFormat="1" ht="12.75" x14ac:dyDescent="0.2"/>
    <row r="365" s="32" customFormat="1" ht="12.75" x14ac:dyDescent="0.2"/>
    <row r="366" s="32" customFormat="1" ht="12.75" x14ac:dyDescent="0.2"/>
    <row r="367" s="32" customFormat="1" ht="12.75" x14ac:dyDescent="0.2"/>
    <row r="368" s="32" customFormat="1" ht="12.75" x14ac:dyDescent="0.2"/>
    <row r="369" s="32" customFormat="1" ht="12.75" x14ac:dyDescent="0.2"/>
    <row r="370" s="32" customFormat="1" ht="12.75" x14ac:dyDescent="0.2"/>
    <row r="371" s="32" customFormat="1" ht="12.75" x14ac:dyDescent="0.2"/>
    <row r="372" s="32" customFormat="1" ht="12.75" x14ac:dyDescent="0.2"/>
    <row r="373" s="32" customFormat="1" ht="12.75" x14ac:dyDescent="0.2"/>
    <row r="374" s="32" customFormat="1" ht="12.75" x14ac:dyDescent="0.2"/>
    <row r="375" s="32" customFormat="1" ht="12.75" x14ac:dyDescent="0.2"/>
    <row r="376" s="32" customFormat="1" ht="12.75" x14ac:dyDescent="0.2"/>
    <row r="377" s="32" customFormat="1" ht="12.75" x14ac:dyDescent="0.2"/>
    <row r="378" s="32" customFormat="1" ht="12.75" x14ac:dyDescent="0.2"/>
    <row r="379" s="32" customFormat="1" ht="12.75" x14ac:dyDescent="0.2"/>
    <row r="380" s="32" customFormat="1" ht="12.75" x14ac:dyDescent="0.2"/>
    <row r="381" s="32" customFormat="1" ht="12.75" x14ac:dyDescent="0.2"/>
    <row r="382" s="32" customFormat="1" ht="12.75" x14ac:dyDescent="0.2"/>
    <row r="383" s="32" customFormat="1" ht="12.75" x14ac:dyDescent="0.2"/>
    <row r="384" s="32" customFormat="1" ht="12.75" x14ac:dyDescent="0.2"/>
    <row r="385" s="32" customFormat="1" ht="12.75" x14ac:dyDescent="0.2"/>
    <row r="386" s="32" customFormat="1" ht="12.75" x14ac:dyDescent="0.2"/>
    <row r="387" s="32" customFormat="1" ht="12.75" x14ac:dyDescent="0.2"/>
    <row r="388" s="32" customFormat="1" ht="12.75" x14ac:dyDescent="0.2"/>
    <row r="389" s="32" customFormat="1" ht="12.75" x14ac:dyDescent="0.2"/>
    <row r="390" s="32" customFormat="1" ht="12.75" x14ac:dyDescent="0.2"/>
    <row r="391" s="32" customFormat="1" ht="12.75" x14ac:dyDescent="0.2"/>
    <row r="392" s="32" customFormat="1" ht="12.75" x14ac:dyDescent="0.2"/>
    <row r="393" s="32" customFormat="1" ht="12.75" x14ac:dyDescent="0.2"/>
    <row r="394" s="32" customFormat="1" ht="12.75" x14ac:dyDescent="0.2"/>
    <row r="395" s="32" customFormat="1" ht="12.75" x14ac:dyDescent="0.2"/>
    <row r="396" s="32" customFormat="1" ht="12.75" x14ac:dyDescent="0.2"/>
    <row r="397" s="32" customFormat="1" ht="12.75" x14ac:dyDescent="0.2"/>
    <row r="398" s="32" customFormat="1" ht="12.75" x14ac:dyDescent="0.2"/>
    <row r="399" s="32" customFormat="1" ht="12.75" x14ac:dyDescent="0.2"/>
    <row r="400" s="32" customFormat="1" ht="12.75" x14ac:dyDescent="0.2"/>
    <row r="401" s="32" customFormat="1" ht="12.75" x14ac:dyDescent="0.2"/>
    <row r="402" s="32" customFormat="1" ht="12.75" x14ac:dyDescent="0.2"/>
    <row r="403" s="32" customFormat="1" ht="12.75" x14ac:dyDescent="0.2"/>
    <row r="404" s="32" customFormat="1" ht="12.75" x14ac:dyDescent="0.2"/>
    <row r="405" s="32" customFormat="1" ht="12.75" x14ac:dyDescent="0.2"/>
    <row r="406" s="32" customFormat="1" ht="12.75" x14ac:dyDescent="0.2"/>
    <row r="407" s="32" customFormat="1" ht="12.75" x14ac:dyDescent="0.2"/>
    <row r="408" s="32" customFormat="1" ht="12.75" x14ac:dyDescent="0.2"/>
    <row r="409" s="32" customFormat="1" ht="12.75" x14ac:dyDescent="0.2"/>
    <row r="410" s="32" customFormat="1" ht="12.75" x14ac:dyDescent="0.2"/>
    <row r="411" s="32" customFormat="1" ht="12.75" x14ac:dyDescent="0.2"/>
    <row r="412" s="32" customFormat="1" ht="12.75" x14ac:dyDescent="0.2"/>
    <row r="413" s="32" customFormat="1" ht="12.75" x14ac:dyDescent="0.2"/>
    <row r="414" s="32" customFormat="1" ht="12.75" x14ac:dyDescent="0.2"/>
    <row r="415" s="32" customFormat="1" ht="12.75" x14ac:dyDescent="0.2"/>
    <row r="416" s="32" customFormat="1" ht="12.75" x14ac:dyDescent="0.2"/>
    <row r="417" s="32" customFormat="1" ht="12.75" x14ac:dyDescent="0.2"/>
    <row r="418" s="32" customFormat="1" ht="12.75" x14ac:dyDescent="0.2"/>
    <row r="419" s="32" customFormat="1" ht="12.75" x14ac:dyDescent="0.2"/>
    <row r="420" s="32" customFormat="1" ht="12.75" x14ac:dyDescent="0.2"/>
    <row r="421" s="32" customFormat="1" ht="12.75" x14ac:dyDescent="0.2"/>
    <row r="422" s="32" customFormat="1" ht="12.75" x14ac:dyDescent="0.2"/>
    <row r="423" s="32" customFormat="1" ht="12.75" x14ac:dyDescent="0.2"/>
    <row r="424" s="32" customFormat="1" ht="12.75" x14ac:dyDescent="0.2"/>
    <row r="425" s="32" customFormat="1" ht="12.75" x14ac:dyDescent="0.2"/>
    <row r="426" s="32" customFormat="1" ht="12.75" x14ac:dyDescent="0.2"/>
    <row r="427" s="32" customFormat="1" ht="12.75" x14ac:dyDescent="0.2"/>
    <row r="428" s="32" customFormat="1" ht="12.75" x14ac:dyDescent="0.2"/>
    <row r="429" s="32" customFormat="1" ht="12.75" x14ac:dyDescent="0.2"/>
    <row r="430" s="32" customFormat="1" ht="12.75" x14ac:dyDescent="0.2"/>
    <row r="431" s="32" customFormat="1" ht="12.75" x14ac:dyDescent="0.2"/>
    <row r="432" s="32" customFormat="1" ht="12.75" x14ac:dyDescent="0.2"/>
    <row r="433" s="32" customFormat="1" ht="12.75" x14ac:dyDescent="0.2"/>
    <row r="434" s="32" customFormat="1" ht="12.75" x14ac:dyDescent="0.2"/>
    <row r="435" s="32" customFormat="1" ht="12.75" x14ac:dyDescent="0.2"/>
    <row r="436" s="32" customFormat="1" ht="12.75" x14ac:dyDescent="0.2"/>
    <row r="437" s="32" customFormat="1" ht="12.75" x14ac:dyDescent="0.2"/>
    <row r="438" s="32" customFormat="1" ht="12.75" x14ac:dyDescent="0.2"/>
    <row r="439" s="32" customFormat="1" ht="12.75" x14ac:dyDescent="0.2"/>
    <row r="440" s="32" customFormat="1" ht="12.75" x14ac:dyDescent="0.2"/>
    <row r="441" s="32" customFormat="1" ht="12.75" x14ac:dyDescent="0.2"/>
    <row r="442" s="32" customFormat="1" ht="12.75" x14ac:dyDescent="0.2"/>
    <row r="443" s="32" customFormat="1" ht="12.75" x14ac:dyDescent="0.2"/>
    <row r="444" s="32" customFormat="1" ht="12.75" x14ac:dyDescent="0.2"/>
    <row r="445" s="32" customFormat="1" ht="12.75" x14ac:dyDescent="0.2"/>
    <row r="446" s="32" customFormat="1" ht="12.75" x14ac:dyDescent="0.2"/>
    <row r="447" s="32" customFormat="1" ht="12.75" x14ac:dyDescent="0.2"/>
    <row r="448" s="32" customFormat="1" ht="12.75" x14ac:dyDescent="0.2"/>
    <row r="449" s="32" customFormat="1" ht="12.75" x14ac:dyDescent="0.2"/>
    <row r="450" s="32" customFormat="1" ht="12.75" x14ac:dyDescent="0.2"/>
    <row r="451" s="32" customFormat="1" ht="12.75" x14ac:dyDescent="0.2"/>
    <row r="452" s="32" customFormat="1" ht="12.75" x14ac:dyDescent="0.2"/>
    <row r="453" s="32" customFormat="1" ht="12.75" x14ac:dyDescent="0.2"/>
    <row r="454" s="32" customFormat="1" ht="12.75" x14ac:dyDescent="0.2"/>
    <row r="455" s="32" customFormat="1" ht="12.75" x14ac:dyDescent="0.2"/>
    <row r="456" s="32" customFormat="1" ht="12.75" x14ac:dyDescent="0.2"/>
    <row r="457" s="32" customFormat="1" ht="12.75" x14ac:dyDescent="0.2"/>
    <row r="458" s="32" customFormat="1" ht="12.75" x14ac:dyDescent="0.2"/>
    <row r="459" s="32" customFormat="1" ht="12.75" x14ac:dyDescent="0.2"/>
    <row r="460" s="32" customFormat="1" ht="12.75" x14ac:dyDescent="0.2"/>
    <row r="461" s="32" customFormat="1" ht="12.75" x14ac:dyDescent="0.2"/>
    <row r="462" s="32" customFormat="1" ht="12.75" x14ac:dyDescent="0.2"/>
    <row r="463" s="32" customFormat="1" ht="12.75" x14ac:dyDescent="0.2"/>
    <row r="464" s="32" customFormat="1" ht="12.75" x14ac:dyDescent="0.2"/>
    <row r="465" s="32" customFormat="1" ht="12.75" x14ac:dyDescent="0.2"/>
    <row r="466" s="32" customFormat="1" ht="12.75" x14ac:dyDescent="0.2"/>
    <row r="467" s="32" customFormat="1" ht="12.75" x14ac:dyDescent="0.2"/>
    <row r="468" s="32" customFormat="1" ht="12.75" x14ac:dyDescent="0.2"/>
    <row r="469" s="32" customFormat="1" ht="12.75" x14ac:dyDescent="0.2"/>
    <row r="470" s="32" customFormat="1" ht="12.75" x14ac:dyDescent="0.2"/>
    <row r="471" s="32" customFormat="1" ht="12.75" x14ac:dyDescent="0.2"/>
    <row r="472" s="32" customFormat="1" ht="12.75" x14ac:dyDescent="0.2"/>
    <row r="473" s="32" customFormat="1" ht="12.75" x14ac:dyDescent="0.2"/>
    <row r="474" s="32" customFormat="1" ht="12.75" x14ac:dyDescent="0.2"/>
    <row r="475" s="32" customFormat="1" ht="12.75" x14ac:dyDescent="0.2"/>
    <row r="476" s="32" customFormat="1" ht="12.75" x14ac:dyDescent="0.2"/>
    <row r="477" s="32" customFormat="1" ht="12.75" x14ac:dyDescent="0.2"/>
    <row r="478" s="32" customFormat="1" ht="12.75" x14ac:dyDescent="0.2"/>
    <row r="479" s="32" customFormat="1" ht="12.75" x14ac:dyDescent="0.2"/>
    <row r="480" s="32" customFormat="1" ht="12.75" x14ac:dyDescent="0.2"/>
    <row r="481" s="32" customFormat="1" ht="12.75" x14ac:dyDescent="0.2"/>
    <row r="482" s="32" customFormat="1" ht="12.75" x14ac:dyDescent="0.2"/>
    <row r="483" s="32" customFormat="1" ht="12.75" x14ac:dyDescent="0.2"/>
    <row r="484" s="32" customFormat="1" ht="12.75" x14ac:dyDescent="0.2"/>
    <row r="485" s="32" customFormat="1" ht="12.75" x14ac:dyDescent="0.2"/>
    <row r="486" s="32" customFormat="1" ht="12.75" x14ac:dyDescent="0.2"/>
    <row r="487" s="32" customFormat="1" ht="12.75" x14ac:dyDescent="0.2"/>
    <row r="488" s="32" customFormat="1" ht="12.75" x14ac:dyDescent="0.2"/>
    <row r="489" s="32" customFormat="1" ht="12.75" x14ac:dyDescent="0.2"/>
    <row r="490" s="32" customFormat="1" ht="12.75" x14ac:dyDescent="0.2"/>
    <row r="491" s="32" customFormat="1" ht="12.75" x14ac:dyDescent="0.2"/>
    <row r="492" s="32" customFormat="1" ht="12.75" x14ac:dyDescent="0.2"/>
    <row r="493" s="32" customFormat="1" ht="12.75" x14ac:dyDescent="0.2"/>
    <row r="494" s="32" customFormat="1" ht="12.75" x14ac:dyDescent="0.2"/>
    <row r="495" s="32" customFormat="1" ht="12.75" x14ac:dyDescent="0.2"/>
    <row r="496" s="32" customFormat="1" ht="12.75" x14ac:dyDescent="0.2"/>
    <row r="497" s="32" customFormat="1" ht="12.75" x14ac:dyDescent="0.2"/>
    <row r="498" s="32" customFormat="1" ht="12.75" x14ac:dyDescent="0.2"/>
    <row r="499" s="32" customFormat="1" ht="12.75" x14ac:dyDescent="0.2"/>
    <row r="500" s="32" customFormat="1" ht="12.75" x14ac:dyDescent="0.2"/>
    <row r="501" s="32" customFormat="1" ht="12.75" x14ac:dyDescent="0.2"/>
    <row r="502" s="32" customFormat="1" ht="12.75" x14ac:dyDescent="0.2"/>
    <row r="503" s="32" customFormat="1" ht="12.75" x14ac:dyDescent="0.2"/>
    <row r="504" s="32" customFormat="1" ht="12.75" x14ac:dyDescent="0.2"/>
    <row r="505" s="32" customFormat="1" ht="12.75" x14ac:dyDescent="0.2"/>
    <row r="506" s="32" customFormat="1" ht="12.75" x14ac:dyDescent="0.2"/>
    <row r="507" s="32" customFormat="1" ht="12.75" x14ac:dyDescent="0.2"/>
    <row r="508" s="32" customFormat="1" ht="12.75" x14ac:dyDescent="0.2"/>
    <row r="509" s="32" customFormat="1" ht="12.75" x14ac:dyDescent="0.2"/>
    <row r="510" s="32" customFormat="1" ht="12.75" x14ac:dyDescent="0.2"/>
    <row r="511" s="32" customFormat="1" ht="12.75" x14ac:dyDescent="0.2"/>
    <row r="512" s="32" customFormat="1" ht="12.75" x14ac:dyDescent="0.2"/>
    <row r="513" s="32" customFormat="1" ht="12.75" x14ac:dyDescent="0.2"/>
    <row r="514" s="32" customFormat="1" ht="12.75" x14ac:dyDescent="0.2"/>
    <row r="515" s="32" customFormat="1" ht="12.75" x14ac:dyDescent="0.2"/>
    <row r="516" s="32" customFormat="1" ht="12.75" x14ac:dyDescent="0.2"/>
    <row r="517" s="32" customFormat="1" ht="12.75" x14ac:dyDescent="0.2"/>
    <row r="518" s="32" customFormat="1" ht="12.75" x14ac:dyDescent="0.2"/>
    <row r="519" s="32" customFormat="1" ht="12.75" x14ac:dyDescent="0.2"/>
    <row r="520" s="32" customFormat="1" ht="12.75" x14ac:dyDescent="0.2"/>
    <row r="521" s="32" customFormat="1" ht="12.75" x14ac:dyDescent="0.2"/>
    <row r="522" s="32" customFormat="1" ht="12.75" x14ac:dyDescent="0.2"/>
    <row r="523" s="32" customFormat="1" ht="12.75" x14ac:dyDescent="0.2"/>
    <row r="524" s="32" customFormat="1" ht="12.75" x14ac:dyDescent="0.2"/>
    <row r="525" s="32" customFormat="1" ht="12.75" x14ac:dyDescent="0.2"/>
    <row r="526" s="32" customFormat="1" ht="12.75" x14ac:dyDescent="0.2"/>
    <row r="527" s="32" customFormat="1" ht="12.75" x14ac:dyDescent="0.2"/>
    <row r="528" s="32" customFormat="1" ht="12.75" x14ac:dyDescent="0.2"/>
    <row r="529" s="32" customFormat="1" ht="12.75" x14ac:dyDescent="0.2"/>
    <row r="530" s="32" customFormat="1" ht="12.75" x14ac:dyDescent="0.2"/>
    <row r="531" s="32" customFormat="1" ht="12.75" x14ac:dyDescent="0.2"/>
    <row r="532" s="32" customFormat="1" ht="12.75" x14ac:dyDescent="0.2"/>
    <row r="533" s="32" customFormat="1" ht="12.75" x14ac:dyDescent="0.2"/>
    <row r="534" s="32" customFormat="1" ht="12.75" x14ac:dyDescent="0.2"/>
    <row r="535" s="32" customFormat="1" ht="12.75" x14ac:dyDescent="0.2"/>
    <row r="536" s="32" customFormat="1" ht="12.75" x14ac:dyDescent="0.2"/>
    <row r="537" s="32" customFormat="1" ht="12.75" x14ac:dyDescent="0.2"/>
    <row r="538" s="32" customFormat="1" ht="12.75" x14ac:dyDescent="0.2"/>
    <row r="539" s="32" customFormat="1" ht="12.75" x14ac:dyDescent="0.2"/>
    <row r="540" s="32" customFormat="1" ht="12.75" x14ac:dyDescent="0.2"/>
    <row r="541" s="32" customFormat="1" ht="12.75" x14ac:dyDescent="0.2"/>
    <row r="542" s="32" customFormat="1" ht="12.75" x14ac:dyDescent="0.2"/>
    <row r="543" s="32" customFormat="1" ht="12.75" x14ac:dyDescent="0.2"/>
    <row r="544" s="32" customFormat="1" ht="12.75" x14ac:dyDescent="0.2"/>
    <row r="545" s="32" customFormat="1" ht="12.75" x14ac:dyDescent="0.2"/>
    <row r="546" s="32" customFormat="1" ht="12.75" x14ac:dyDescent="0.2"/>
    <row r="547" s="32" customFormat="1" ht="12.75" x14ac:dyDescent="0.2"/>
    <row r="548" s="32" customFormat="1" ht="12.75" x14ac:dyDescent="0.2"/>
    <row r="549" s="32" customFormat="1" ht="12.75" x14ac:dyDescent="0.2"/>
    <row r="550" s="32" customFormat="1" ht="12.75" x14ac:dyDescent="0.2"/>
    <row r="551" s="32" customFormat="1" ht="12.75" x14ac:dyDescent="0.2"/>
    <row r="552" s="32" customFormat="1" ht="12.75" x14ac:dyDescent="0.2"/>
    <row r="553" s="32" customFormat="1" ht="12.75" x14ac:dyDescent="0.2"/>
    <row r="554" s="32" customFormat="1" ht="12.75" x14ac:dyDescent="0.2"/>
    <row r="555" s="32" customFormat="1" ht="12.75" x14ac:dyDescent="0.2"/>
    <row r="556" s="32" customFormat="1" ht="12.75" x14ac:dyDescent="0.2"/>
    <row r="557" s="32" customFormat="1" ht="12.75" x14ac:dyDescent="0.2"/>
    <row r="558" s="32" customFormat="1" ht="12.75" x14ac:dyDescent="0.2"/>
    <row r="559" s="32" customFormat="1" ht="12.75" x14ac:dyDescent="0.2"/>
    <row r="560" s="32" customFormat="1" ht="12.75" x14ac:dyDescent="0.2"/>
    <row r="561" s="32" customFormat="1" ht="12.75" x14ac:dyDescent="0.2"/>
    <row r="562" s="32" customFormat="1" ht="12.75" x14ac:dyDescent="0.2"/>
    <row r="563" s="32" customFormat="1" ht="12.75" x14ac:dyDescent="0.2"/>
    <row r="564" s="32" customFormat="1" ht="12.75" x14ac:dyDescent="0.2"/>
    <row r="565" s="32" customFormat="1" ht="12.75" x14ac:dyDescent="0.2"/>
    <row r="566" s="32" customFormat="1" ht="12.75" x14ac:dyDescent="0.2"/>
    <row r="567" s="32" customFormat="1" ht="12.75" x14ac:dyDescent="0.2"/>
    <row r="568" s="32" customFormat="1" ht="12.75" x14ac:dyDescent="0.2"/>
    <row r="569" s="32" customFormat="1" ht="12.75" x14ac:dyDescent="0.2"/>
    <row r="570" s="32" customFormat="1" ht="12.75" x14ac:dyDescent="0.2"/>
    <row r="571" s="32" customFormat="1" ht="12.75" x14ac:dyDescent="0.2"/>
    <row r="572" s="32" customFormat="1" ht="12.75" x14ac:dyDescent="0.2"/>
    <row r="573" s="32" customFormat="1" ht="12.75" x14ac:dyDescent="0.2"/>
    <row r="574" s="32" customFormat="1" ht="12.75" x14ac:dyDescent="0.2"/>
    <row r="575" s="32" customFormat="1" ht="12.75" x14ac:dyDescent="0.2"/>
    <row r="576" s="32" customFormat="1" ht="12.75" x14ac:dyDescent="0.2"/>
    <row r="577" s="32" customFormat="1" ht="12.75" x14ac:dyDescent="0.2"/>
    <row r="578" s="32" customFormat="1" ht="12.75" x14ac:dyDescent="0.2"/>
    <row r="579" s="32" customFormat="1" ht="12.75" x14ac:dyDescent="0.2"/>
    <row r="580" s="32" customFormat="1" ht="12.75" x14ac:dyDescent="0.2"/>
    <row r="581" s="32" customFormat="1" ht="12.75" x14ac:dyDescent="0.2"/>
    <row r="582" s="32" customFormat="1" ht="12.75" x14ac:dyDescent="0.2"/>
    <row r="583" s="32" customFormat="1" ht="12.75" x14ac:dyDescent="0.2"/>
    <row r="584" s="32" customFormat="1" ht="12.75" x14ac:dyDescent="0.2"/>
    <row r="585" s="32" customFormat="1" ht="12.75" x14ac:dyDescent="0.2"/>
    <row r="586" s="32" customFormat="1" ht="12.75" x14ac:dyDescent="0.2"/>
    <row r="587" s="32" customFormat="1" ht="12.75" x14ac:dyDescent="0.2"/>
    <row r="588" s="32" customFormat="1" ht="12.75" x14ac:dyDescent="0.2"/>
    <row r="589" s="32" customFormat="1" ht="12.75" x14ac:dyDescent="0.2"/>
    <row r="590" s="32" customFormat="1" ht="12.75" x14ac:dyDescent="0.2"/>
    <row r="591" s="32" customFormat="1" ht="12.75" x14ac:dyDescent="0.2"/>
    <row r="592" s="32" customFormat="1" ht="12.75" x14ac:dyDescent="0.2"/>
    <row r="593" s="32" customFormat="1" ht="12.75" x14ac:dyDescent="0.2"/>
    <row r="594" s="32" customFormat="1" ht="12.75" x14ac:dyDescent="0.2"/>
    <row r="595" s="32" customFormat="1" ht="12.75" x14ac:dyDescent="0.2"/>
    <row r="596" s="32" customFormat="1" ht="12.75" x14ac:dyDescent="0.2"/>
    <row r="597" s="32" customFormat="1" ht="12.75" x14ac:dyDescent="0.2"/>
    <row r="598" s="32" customFormat="1" ht="12.75" x14ac:dyDescent="0.2"/>
    <row r="599" s="32" customFormat="1" ht="12.75" x14ac:dyDescent="0.2"/>
    <row r="600" s="32" customFormat="1" ht="12.75" x14ac:dyDescent="0.2"/>
    <row r="601" s="32" customFormat="1" ht="12.75" x14ac:dyDescent="0.2"/>
    <row r="602" s="32" customFormat="1" ht="12.75" x14ac:dyDescent="0.2"/>
    <row r="603" s="32" customFormat="1" ht="12.75" x14ac:dyDescent="0.2"/>
    <row r="604" s="32" customFormat="1" ht="12.75" x14ac:dyDescent="0.2"/>
    <row r="605" s="32" customFormat="1" ht="12.75" x14ac:dyDescent="0.2"/>
    <row r="606" s="32" customFormat="1" ht="12.75" x14ac:dyDescent="0.2"/>
    <row r="607" s="32" customFormat="1" ht="12.75" x14ac:dyDescent="0.2"/>
    <row r="608" s="32" customFormat="1" ht="12.75" x14ac:dyDescent="0.2"/>
    <row r="609" s="32" customFormat="1" ht="12.75" x14ac:dyDescent="0.2"/>
    <row r="610" s="32" customFormat="1" ht="12.75" x14ac:dyDescent="0.2"/>
    <row r="611" s="32" customFormat="1" ht="12.75" x14ac:dyDescent="0.2"/>
    <row r="612" s="32" customFormat="1" ht="12.75" x14ac:dyDescent="0.2"/>
    <row r="613" s="32" customFormat="1" ht="12.75" x14ac:dyDescent="0.2"/>
    <row r="614" s="32" customFormat="1" ht="12.75" x14ac:dyDescent="0.2"/>
    <row r="615" s="32" customFormat="1" ht="12.75" x14ac:dyDescent="0.2"/>
    <row r="616" s="32" customFormat="1" ht="12.75" x14ac:dyDescent="0.2"/>
    <row r="617" s="32" customFormat="1" ht="12.75" x14ac:dyDescent="0.2"/>
    <row r="618" s="32" customFormat="1" ht="12.75" x14ac:dyDescent="0.2"/>
    <row r="619" s="32" customFormat="1" ht="12.75" x14ac:dyDescent="0.2"/>
    <row r="620" s="32" customFormat="1" ht="12.75" x14ac:dyDescent="0.2"/>
    <row r="621" s="32" customFormat="1" ht="12.75" x14ac:dyDescent="0.2"/>
    <row r="622" s="32" customFormat="1" ht="12.75" x14ac:dyDescent="0.2"/>
    <row r="623" s="32" customFormat="1" ht="12.75" x14ac:dyDescent="0.2"/>
    <row r="624" s="32" customFormat="1" ht="12.75" x14ac:dyDescent="0.2"/>
    <row r="625" s="32" customFormat="1" ht="12.75" x14ac:dyDescent="0.2"/>
    <row r="626" s="32" customFormat="1" ht="12.75" x14ac:dyDescent="0.2"/>
    <row r="627" s="32" customFormat="1" ht="12.75" x14ac:dyDescent="0.2"/>
    <row r="628" s="32" customFormat="1" ht="12.75" x14ac:dyDescent="0.2"/>
    <row r="629" s="32" customFormat="1" ht="12.75" x14ac:dyDescent="0.2"/>
    <row r="630" s="32" customFormat="1" ht="12.75" x14ac:dyDescent="0.2"/>
    <row r="631" s="32" customFormat="1" ht="12.75" x14ac:dyDescent="0.2"/>
    <row r="632" s="32" customFormat="1" ht="12.75" x14ac:dyDescent="0.2"/>
    <row r="633" s="32" customFormat="1" ht="12.75" x14ac:dyDescent="0.2"/>
    <row r="634" s="32" customFormat="1" ht="12.75" x14ac:dyDescent="0.2"/>
    <row r="635" s="32" customFormat="1" ht="12.75" x14ac:dyDescent="0.2"/>
    <row r="636" s="32" customFormat="1" ht="12.75" x14ac:dyDescent="0.2"/>
    <row r="637" s="32" customFormat="1" ht="12.75" x14ac:dyDescent="0.2"/>
    <row r="638" s="32" customFormat="1" ht="12.75" x14ac:dyDescent="0.2"/>
    <row r="639" s="32" customFormat="1" ht="12.75" x14ac:dyDescent="0.2"/>
    <row r="640" s="32" customFormat="1" ht="12.75" x14ac:dyDescent="0.2"/>
    <row r="641" s="32" customFormat="1" ht="12.75" x14ac:dyDescent="0.2"/>
    <row r="642" s="32" customFormat="1" ht="12.75" x14ac:dyDescent="0.2"/>
    <row r="643" s="32" customFormat="1" ht="12.75" x14ac:dyDescent="0.2"/>
    <row r="644" s="32" customFormat="1" ht="12.75" x14ac:dyDescent="0.2"/>
    <row r="645" s="32" customFormat="1" ht="12.75" x14ac:dyDescent="0.2"/>
    <row r="646" s="32" customFormat="1" ht="12.75" x14ac:dyDescent="0.2"/>
    <row r="647" s="32" customFormat="1" ht="12.75" x14ac:dyDescent="0.2"/>
    <row r="648" s="32" customFormat="1" ht="12.75" x14ac:dyDescent="0.2"/>
    <row r="649" s="32" customFormat="1" ht="12.75" x14ac:dyDescent="0.2"/>
    <row r="650" s="32" customFormat="1" ht="12.75" x14ac:dyDescent="0.2"/>
    <row r="651" s="32" customFormat="1" ht="12.75" x14ac:dyDescent="0.2"/>
    <row r="652" s="32" customFormat="1" ht="12.75" x14ac:dyDescent="0.2"/>
    <row r="653" s="32" customFormat="1" ht="12.75" x14ac:dyDescent="0.2"/>
    <row r="654" s="32" customFormat="1" ht="12.75" x14ac:dyDescent="0.2"/>
    <row r="655" s="32" customFormat="1" ht="12.75" x14ac:dyDescent="0.2"/>
    <row r="656" s="32" customFormat="1" ht="12.75" x14ac:dyDescent="0.2"/>
    <row r="657" s="32" customFormat="1" ht="12.75" x14ac:dyDescent="0.2"/>
    <row r="658" s="32" customFormat="1" ht="12.75" x14ac:dyDescent="0.2"/>
    <row r="659" s="32" customFormat="1" ht="12.75" x14ac:dyDescent="0.2"/>
    <row r="660" s="32" customFormat="1" ht="12.75" x14ac:dyDescent="0.2"/>
    <row r="661" s="32" customFormat="1" ht="12.75" x14ac:dyDescent="0.2"/>
    <row r="662" s="32" customFormat="1" ht="12.75" x14ac:dyDescent="0.2"/>
    <row r="663" s="32" customFormat="1" ht="12.75" x14ac:dyDescent="0.2"/>
    <row r="664" s="32" customFormat="1" ht="12.75" x14ac:dyDescent="0.2"/>
    <row r="665" s="32" customFormat="1" ht="12.75" x14ac:dyDescent="0.2"/>
    <row r="666" s="32" customFormat="1" ht="12.75" x14ac:dyDescent="0.2"/>
    <row r="667" s="32" customFormat="1" ht="12.75" x14ac:dyDescent="0.2"/>
    <row r="668" s="32" customFormat="1" ht="12.75" x14ac:dyDescent="0.2"/>
    <row r="669" s="32" customFormat="1" ht="12.75" x14ac:dyDescent="0.2"/>
    <row r="670" s="32" customFormat="1" ht="12.75" x14ac:dyDescent="0.2"/>
    <row r="671" s="32" customFormat="1" ht="12.75" x14ac:dyDescent="0.2"/>
    <row r="672" s="32" customFormat="1" ht="12.75" x14ac:dyDescent="0.2"/>
    <row r="673" s="32" customFormat="1" ht="12.75" x14ac:dyDescent="0.2"/>
    <row r="674" s="32" customFormat="1" ht="12.75" x14ac:dyDescent="0.2"/>
    <row r="675" s="32" customFormat="1" ht="12.75" x14ac:dyDescent="0.2"/>
    <row r="676" s="32" customFormat="1" ht="12.75" x14ac:dyDescent="0.2"/>
    <row r="677" s="32" customFormat="1" ht="12.75" x14ac:dyDescent="0.2"/>
    <row r="678" s="32" customFormat="1" ht="12.75" x14ac:dyDescent="0.2"/>
    <row r="679" s="32" customFormat="1" ht="12.75" x14ac:dyDescent="0.2"/>
    <row r="680" s="32" customFormat="1" ht="12.75" x14ac:dyDescent="0.2"/>
    <row r="681" s="32" customFormat="1" ht="12.75" x14ac:dyDescent="0.2"/>
    <row r="682" s="32" customFormat="1" ht="12.75" x14ac:dyDescent="0.2"/>
    <row r="683" s="32" customFormat="1" ht="12.75" x14ac:dyDescent="0.2"/>
    <row r="684" s="32" customFormat="1" ht="12.75" x14ac:dyDescent="0.2"/>
    <row r="685" s="32" customFormat="1" ht="12.75" x14ac:dyDescent="0.2"/>
    <row r="686" s="32" customFormat="1" ht="12.75" x14ac:dyDescent="0.2"/>
    <row r="687" s="32" customFormat="1" ht="12.75" x14ac:dyDescent="0.2"/>
    <row r="688" s="32" customFormat="1" ht="12.75" x14ac:dyDescent="0.2"/>
    <row r="689" s="32" customFormat="1" ht="12.75" x14ac:dyDescent="0.2"/>
    <row r="690" s="32" customFormat="1" ht="12.75" x14ac:dyDescent="0.2"/>
    <row r="691" s="32" customFormat="1" ht="12.75" x14ac:dyDescent="0.2"/>
    <row r="692" s="32" customFormat="1" ht="12.75" x14ac:dyDescent="0.2"/>
    <row r="693" s="32" customFormat="1" ht="12.75" x14ac:dyDescent="0.2"/>
    <row r="694" s="32" customFormat="1" ht="12.75" x14ac:dyDescent="0.2"/>
    <row r="695" s="32" customFormat="1" ht="12.75" x14ac:dyDescent="0.2"/>
    <row r="696" s="32" customFormat="1" ht="12.75" x14ac:dyDescent="0.2"/>
    <row r="697" s="32" customFormat="1" ht="12.75" x14ac:dyDescent="0.2"/>
    <row r="698" s="32" customFormat="1" ht="12.75" x14ac:dyDescent="0.2"/>
    <row r="699" s="32" customFormat="1" ht="12.75" x14ac:dyDescent="0.2"/>
    <row r="700" s="32" customFormat="1" ht="12.75" x14ac:dyDescent="0.2"/>
    <row r="701" s="32" customFormat="1" ht="12.75" x14ac:dyDescent="0.2"/>
    <row r="702" s="32" customFormat="1" ht="12.75" x14ac:dyDescent="0.2"/>
    <row r="703" s="32" customFormat="1" ht="12.75" x14ac:dyDescent="0.2"/>
    <row r="704" s="32" customFormat="1" ht="12.75" x14ac:dyDescent="0.2"/>
    <row r="705" s="32" customFormat="1" ht="12.75" x14ac:dyDescent="0.2"/>
    <row r="706" s="32" customFormat="1" ht="12.75" x14ac:dyDescent="0.2"/>
    <row r="707" s="32" customFormat="1" ht="12.75" x14ac:dyDescent="0.2"/>
    <row r="708" s="32" customFormat="1" ht="12.75" x14ac:dyDescent="0.2"/>
    <row r="709" s="32" customFormat="1" ht="12.75" x14ac:dyDescent="0.2"/>
    <row r="710" s="32" customFormat="1" ht="12.75" x14ac:dyDescent="0.2"/>
    <row r="711" s="32" customFormat="1" ht="12.75" x14ac:dyDescent="0.2"/>
    <row r="712" s="32" customFormat="1" ht="12.75" x14ac:dyDescent="0.2"/>
    <row r="713" s="32" customFormat="1" ht="12.75" x14ac:dyDescent="0.2"/>
    <row r="714" s="32" customFormat="1" ht="12.75" x14ac:dyDescent="0.2"/>
    <row r="715" s="32" customFormat="1" ht="12.75" x14ac:dyDescent="0.2"/>
    <row r="716" s="32" customFormat="1" ht="12.75" x14ac:dyDescent="0.2"/>
    <row r="717" s="32" customFormat="1" ht="12.75" x14ac:dyDescent="0.2"/>
    <row r="718" s="32" customFormat="1" ht="12.75" x14ac:dyDescent="0.2"/>
    <row r="719" s="32" customFormat="1" ht="12.75" x14ac:dyDescent="0.2"/>
    <row r="720" s="32" customFormat="1" ht="12.75" x14ac:dyDescent="0.2"/>
    <row r="721" s="32" customFormat="1" ht="12.75" x14ac:dyDescent="0.2"/>
    <row r="722" s="32" customFormat="1" ht="12.75" x14ac:dyDescent="0.2"/>
    <row r="723" s="32" customFormat="1" ht="12.75" x14ac:dyDescent="0.2"/>
    <row r="724" s="32" customFormat="1" ht="12.75" x14ac:dyDescent="0.2"/>
    <row r="725" s="32" customFormat="1" ht="12.75" x14ac:dyDescent="0.2"/>
    <row r="726" s="32" customFormat="1" ht="12.75" x14ac:dyDescent="0.2"/>
    <row r="727" s="32" customFormat="1" ht="12.75" x14ac:dyDescent="0.2"/>
    <row r="728" s="32" customFormat="1" ht="12.75" x14ac:dyDescent="0.2"/>
    <row r="729" s="32" customFormat="1" ht="12.75" x14ac:dyDescent="0.2"/>
    <row r="730" s="32" customFormat="1" ht="12.75" x14ac:dyDescent="0.2"/>
    <row r="731" s="32" customFormat="1" ht="12.75" x14ac:dyDescent="0.2"/>
    <row r="732" s="32" customFormat="1" ht="12.75" x14ac:dyDescent="0.2"/>
    <row r="733" s="32" customFormat="1" ht="12.75" x14ac:dyDescent="0.2"/>
    <row r="734" s="32" customFormat="1" ht="12.75" x14ac:dyDescent="0.2"/>
    <row r="735" s="32" customFormat="1" ht="12.75" x14ac:dyDescent="0.2"/>
    <row r="736" s="32" customFormat="1" ht="12.75" x14ac:dyDescent="0.2"/>
    <row r="737" s="32" customFormat="1" ht="12.75" x14ac:dyDescent="0.2"/>
    <row r="738" s="32" customFormat="1" ht="12.75" x14ac:dyDescent="0.2"/>
    <row r="739" s="32" customFormat="1" ht="12.75" x14ac:dyDescent="0.2"/>
    <row r="740" s="32" customFormat="1" ht="12.75" x14ac:dyDescent="0.2"/>
    <row r="741" s="32" customFormat="1" ht="12.75" x14ac:dyDescent="0.2"/>
    <row r="742" s="32" customFormat="1" ht="12.75" x14ac:dyDescent="0.2"/>
    <row r="743" s="32" customFormat="1" ht="12.75" x14ac:dyDescent="0.2"/>
    <row r="744" s="32" customFormat="1" ht="12.75" x14ac:dyDescent="0.2"/>
    <row r="745" s="32" customFormat="1" ht="12.75" x14ac:dyDescent="0.2"/>
    <row r="746" s="32" customFormat="1" ht="12.75" x14ac:dyDescent="0.2"/>
    <row r="747" s="32" customFormat="1" ht="12.75" x14ac:dyDescent="0.2"/>
    <row r="748" s="32" customFormat="1" ht="12.75" x14ac:dyDescent="0.2"/>
    <row r="749" s="32" customFormat="1" ht="12.75" x14ac:dyDescent="0.2"/>
    <row r="750" s="32" customFormat="1" ht="12.75" x14ac:dyDescent="0.2"/>
    <row r="751" s="32" customFormat="1" ht="12.75" x14ac:dyDescent="0.2"/>
    <row r="752" s="32" customFormat="1" ht="12.75" x14ac:dyDescent="0.2"/>
    <row r="753" s="32" customFormat="1" ht="12.75" x14ac:dyDescent="0.2"/>
    <row r="754" s="32" customFormat="1" ht="12.75" x14ac:dyDescent="0.2"/>
    <row r="755" s="32" customFormat="1" ht="12.75" x14ac:dyDescent="0.2"/>
    <row r="756" s="32" customFormat="1" ht="12.75" x14ac:dyDescent="0.2"/>
    <row r="757" s="32" customFormat="1" ht="12.75" x14ac:dyDescent="0.2"/>
    <row r="758" s="32" customFormat="1" ht="12.75" x14ac:dyDescent="0.2"/>
    <row r="759" s="32" customFormat="1" ht="12.75" x14ac:dyDescent="0.2"/>
    <row r="760" s="32" customFormat="1" ht="12.75" x14ac:dyDescent="0.2"/>
    <row r="761" s="32" customFormat="1" ht="12.75" x14ac:dyDescent="0.2"/>
    <row r="762" s="32" customFormat="1" ht="12.75" x14ac:dyDescent="0.2"/>
    <row r="763" s="32" customFormat="1" ht="12.75" x14ac:dyDescent="0.2"/>
    <row r="764" s="32" customFormat="1" ht="12.75" x14ac:dyDescent="0.2"/>
    <row r="765" s="32" customFormat="1" ht="12.75" x14ac:dyDescent="0.2"/>
    <row r="766" s="32" customFormat="1" ht="12.75" x14ac:dyDescent="0.2"/>
    <row r="767" s="32" customFormat="1" ht="12.75" x14ac:dyDescent="0.2"/>
    <row r="768" s="32" customFormat="1" ht="12.75" x14ac:dyDescent="0.2"/>
    <row r="769" s="32" customFormat="1" ht="12.75" x14ac:dyDescent="0.2"/>
    <row r="770" s="32" customFormat="1" ht="12.75" x14ac:dyDescent="0.2"/>
    <row r="771" s="32" customFormat="1" ht="12.75" x14ac:dyDescent="0.2"/>
    <row r="772" s="32" customFormat="1" ht="12.75" x14ac:dyDescent="0.2"/>
    <row r="773" s="32" customFormat="1" ht="12.75" x14ac:dyDescent="0.2"/>
    <row r="774" s="32" customFormat="1" ht="12.75" x14ac:dyDescent="0.2"/>
    <row r="775" s="32" customFormat="1" ht="12.75" x14ac:dyDescent="0.2"/>
    <row r="776" s="32" customFormat="1" ht="12.75" x14ac:dyDescent="0.2"/>
    <row r="777" s="32" customFormat="1" ht="12.75" x14ac:dyDescent="0.2"/>
    <row r="778" s="32" customFormat="1" ht="12.75" x14ac:dyDescent="0.2"/>
    <row r="779" s="32" customFormat="1" ht="12.75" x14ac:dyDescent="0.2"/>
    <row r="780" s="32" customFormat="1" ht="12.75" x14ac:dyDescent="0.2"/>
    <row r="781" s="32" customFormat="1" ht="12.75" x14ac:dyDescent="0.2"/>
    <row r="782" s="32" customFormat="1" ht="12.75" x14ac:dyDescent="0.2"/>
    <row r="783" s="32" customFormat="1" ht="12.75" x14ac:dyDescent="0.2"/>
    <row r="784" s="32" customFormat="1" ht="12.75" x14ac:dyDescent="0.2"/>
    <row r="785" s="32" customFormat="1" ht="12.75" x14ac:dyDescent="0.2"/>
    <row r="786" s="32" customFormat="1" ht="12.75" x14ac:dyDescent="0.2"/>
    <row r="787" s="32" customFormat="1" ht="12.75" x14ac:dyDescent="0.2"/>
    <row r="788" s="32" customFormat="1" ht="12.75" x14ac:dyDescent="0.2"/>
    <row r="789" s="32" customFormat="1" ht="12.75" x14ac:dyDescent="0.2"/>
    <row r="790" s="32" customFormat="1" ht="12.75" x14ac:dyDescent="0.2"/>
    <row r="791" s="32" customFormat="1" ht="12.75" x14ac:dyDescent="0.2"/>
    <row r="792" s="32" customFormat="1" ht="12.75" x14ac:dyDescent="0.2"/>
    <row r="793" s="32" customFormat="1" ht="12.75" x14ac:dyDescent="0.2"/>
    <row r="794" s="32" customFormat="1" ht="12.75" x14ac:dyDescent="0.2"/>
    <row r="795" s="32" customFormat="1" ht="12.75" x14ac:dyDescent="0.2"/>
    <row r="796" s="32" customFormat="1" ht="12.75" x14ac:dyDescent="0.2"/>
    <row r="797" s="32" customFormat="1" ht="12.75" x14ac:dyDescent="0.2"/>
    <row r="798" s="32" customFormat="1" ht="12.75" x14ac:dyDescent="0.2"/>
    <row r="799" s="32" customFormat="1" ht="12.75" x14ac:dyDescent="0.2"/>
    <row r="800" s="32" customFormat="1" ht="12.75" x14ac:dyDescent="0.2"/>
    <row r="801" s="32" customFormat="1" ht="12.75" x14ac:dyDescent="0.2"/>
    <row r="802" s="32" customFormat="1" ht="12.75" x14ac:dyDescent="0.2"/>
    <row r="803" s="32" customFormat="1" ht="12.75" x14ac:dyDescent="0.2"/>
    <row r="804" s="32" customFormat="1" ht="12.75" x14ac:dyDescent="0.2"/>
    <row r="805" s="32" customFormat="1" ht="12.75" x14ac:dyDescent="0.2"/>
    <row r="806" s="32" customFormat="1" ht="12.75" x14ac:dyDescent="0.2"/>
    <row r="807" s="32" customFormat="1" ht="12.75" x14ac:dyDescent="0.2"/>
    <row r="808" s="32" customFormat="1" ht="12.75" x14ac:dyDescent="0.2"/>
    <row r="809" s="32" customFormat="1" ht="12.75" x14ac:dyDescent="0.2"/>
    <row r="810" s="32" customFormat="1" ht="12.75" x14ac:dyDescent="0.2"/>
    <row r="811" s="32" customFormat="1" ht="12.75" x14ac:dyDescent="0.2"/>
    <row r="812" s="32" customFormat="1" ht="12.75" x14ac:dyDescent="0.2"/>
    <row r="813" s="32" customFormat="1" ht="12.75" x14ac:dyDescent="0.2"/>
    <row r="814" s="32" customFormat="1" ht="12.75" x14ac:dyDescent="0.2"/>
    <row r="815" s="32" customFormat="1" ht="12.75" x14ac:dyDescent="0.2"/>
    <row r="816" s="32" customFormat="1" ht="12.75" x14ac:dyDescent="0.2"/>
    <row r="817" s="32" customFormat="1" ht="12.75" x14ac:dyDescent="0.2"/>
    <row r="818" s="32" customFormat="1" ht="12.75" x14ac:dyDescent="0.2"/>
    <row r="819" s="32" customFormat="1" ht="12.75" x14ac:dyDescent="0.2"/>
    <row r="820" s="32" customFormat="1" ht="12.75" x14ac:dyDescent="0.2"/>
    <row r="821" s="32" customFormat="1" ht="12.75" x14ac:dyDescent="0.2"/>
    <row r="822" s="32" customFormat="1" ht="12.75" x14ac:dyDescent="0.2"/>
    <row r="823" s="32" customFormat="1" ht="12.75" x14ac:dyDescent="0.2"/>
    <row r="824" s="32" customFormat="1" ht="12.75" x14ac:dyDescent="0.2"/>
    <row r="825" s="32" customFormat="1" ht="12.75" x14ac:dyDescent="0.2"/>
    <row r="826" s="32" customFormat="1" ht="12.75" x14ac:dyDescent="0.2"/>
    <row r="827" s="32" customFormat="1" ht="12.75" x14ac:dyDescent="0.2"/>
    <row r="828" s="32" customFormat="1" ht="12.75" x14ac:dyDescent="0.2"/>
    <row r="829" s="32" customFormat="1" ht="12.75" x14ac:dyDescent="0.2"/>
    <row r="830" s="32" customFormat="1" ht="12.75" x14ac:dyDescent="0.2"/>
    <row r="831" s="32" customFormat="1" ht="12.75" x14ac:dyDescent="0.2"/>
    <row r="832" s="32" customFormat="1" ht="12.75" x14ac:dyDescent="0.2"/>
    <row r="833" s="32" customFormat="1" ht="12.75" x14ac:dyDescent="0.2"/>
    <row r="834" s="32" customFormat="1" ht="12.75" x14ac:dyDescent="0.2"/>
    <row r="835" s="32" customFormat="1" ht="12.75" x14ac:dyDescent="0.2"/>
    <row r="836" s="32" customFormat="1" ht="12.75" x14ac:dyDescent="0.2"/>
    <row r="837" s="32" customFormat="1" ht="12.75" x14ac:dyDescent="0.2"/>
    <row r="838" s="32" customFormat="1" ht="12.75" x14ac:dyDescent="0.2"/>
    <row r="839" s="32" customFormat="1" ht="12.75" x14ac:dyDescent="0.2"/>
    <row r="840" s="32" customFormat="1" ht="12.75" x14ac:dyDescent="0.2"/>
    <row r="841" s="32" customFormat="1" ht="12.75" x14ac:dyDescent="0.2"/>
    <row r="842" s="32" customFormat="1" ht="12.75" x14ac:dyDescent="0.2"/>
    <row r="843" s="32" customFormat="1" ht="12.75" x14ac:dyDescent="0.2"/>
    <row r="844" s="32" customFormat="1" ht="12.75" x14ac:dyDescent="0.2"/>
    <row r="845" s="32" customFormat="1" ht="12.75" x14ac:dyDescent="0.2"/>
    <row r="846" s="32" customFormat="1" ht="12.75" x14ac:dyDescent="0.2"/>
    <row r="847" s="32" customFormat="1" ht="12.75" x14ac:dyDescent="0.2"/>
    <row r="848" s="32" customFormat="1" ht="12.75" x14ac:dyDescent="0.2"/>
    <row r="849" s="32" customFormat="1" ht="12.75" x14ac:dyDescent="0.2"/>
    <row r="850" s="32" customFormat="1" ht="12.75" x14ac:dyDescent="0.2"/>
    <row r="851" s="32" customFormat="1" ht="12.75" x14ac:dyDescent="0.2"/>
    <row r="852" s="32" customFormat="1" ht="12.75" x14ac:dyDescent="0.2"/>
    <row r="853" s="32" customFormat="1" ht="12.75" x14ac:dyDescent="0.2"/>
    <row r="854" s="32" customFormat="1" ht="12.75" x14ac:dyDescent="0.2"/>
    <row r="855" s="32" customFormat="1" ht="12.75" x14ac:dyDescent="0.2"/>
    <row r="856" s="32" customFormat="1" ht="12.75" x14ac:dyDescent="0.2"/>
    <row r="857" s="32" customFormat="1" ht="12.75" x14ac:dyDescent="0.2"/>
    <row r="858" s="32" customFormat="1" ht="12.75" x14ac:dyDescent="0.2"/>
    <row r="859" s="32" customFormat="1" ht="12.75" x14ac:dyDescent="0.2"/>
    <row r="860" s="32" customFormat="1" ht="12.75" x14ac:dyDescent="0.2"/>
    <row r="861" s="32" customFormat="1" ht="12.75" x14ac:dyDescent="0.2"/>
    <row r="862" s="32" customFormat="1" ht="12.75" x14ac:dyDescent="0.2"/>
    <row r="863" s="32" customFormat="1" ht="12.75" x14ac:dyDescent="0.2"/>
    <row r="864" s="32" customFormat="1" ht="12.75" x14ac:dyDescent="0.2"/>
    <row r="865" s="32" customFormat="1" ht="12.75" x14ac:dyDescent="0.2"/>
    <row r="866" s="32" customFormat="1" ht="12.75" x14ac:dyDescent="0.2"/>
    <row r="867" s="32" customFormat="1" ht="12.75" x14ac:dyDescent="0.2"/>
    <row r="868" s="32" customFormat="1" ht="12.75" x14ac:dyDescent="0.2"/>
    <row r="869" s="32" customFormat="1" ht="12.75" x14ac:dyDescent="0.2"/>
    <row r="870" s="32" customFormat="1" ht="12.75" x14ac:dyDescent="0.2"/>
    <row r="871" s="32" customFormat="1" ht="12.75" x14ac:dyDescent="0.2"/>
    <row r="872" s="32" customFormat="1" ht="12.75" x14ac:dyDescent="0.2"/>
    <row r="873" s="32" customFormat="1" ht="12.75" x14ac:dyDescent="0.2"/>
    <row r="874" s="32" customFormat="1" ht="12.75" x14ac:dyDescent="0.2"/>
    <row r="875" s="32" customFormat="1" ht="12.75" x14ac:dyDescent="0.2"/>
    <row r="876" s="32" customFormat="1" ht="12.75" x14ac:dyDescent="0.2"/>
    <row r="877" s="32" customFormat="1" ht="12.75" x14ac:dyDescent="0.2"/>
    <row r="878" s="32" customFormat="1" ht="12.75" x14ac:dyDescent="0.2"/>
    <row r="879" s="32" customFormat="1" ht="12.75" x14ac:dyDescent="0.2"/>
    <row r="880" s="32" customFormat="1" ht="12.75" x14ac:dyDescent="0.2"/>
    <row r="881" s="32" customFormat="1" ht="12.75" x14ac:dyDescent="0.2"/>
    <row r="882" s="32" customFormat="1" ht="12.75" x14ac:dyDescent="0.2"/>
    <row r="883" s="32" customFormat="1" ht="12.75" x14ac:dyDescent="0.2"/>
    <row r="884" s="32" customFormat="1" ht="12.75" x14ac:dyDescent="0.2"/>
    <row r="885" s="32" customFormat="1" ht="12.75" x14ac:dyDescent="0.2"/>
    <row r="886" s="32" customFormat="1" ht="12.75" x14ac:dyDescent="0.2"/>
    <row r="887" s="32" customFormat="1" ht="12.75" x14ac:dyDescent="0.2"/>
    <row r="888" s="32" customFormat="1" ht="12.75" x14ac:dyDescent="0.2"/>
    <row r="889" s="32" customFormat="1" ht="12.75" x14ac:dyDescent="0.2"/>
    <row r="890" s="32" customFormat="1" ht="12.75" x14ac:dyDescent="0.2"/>
    <row r="891" s="32" customFormat="1" ht="12.75" x14ac:dyDescent="0.2"/>
    <row r="892" s="32" customFormat="1" ht="12.75" x14ac:dyDescent="0.2"/>
    <row r="893" s="32" customFormat="1" ht="12.75" x14ac:dyDescent="0.2"/>
    <row r="894" s="32" customFormat="1" ht="12.75" x14ac:dyDescent="0.2"/>
    <row r="895" s="32" customFormat="1" ht="12.75" x14ac:dyDescent="0.2"/>
    <row r="896" s="32" customFormat="1" ht="12.75" x14ac:dyDescent="0.2"/>
    <row r="897" s="32" customFormat="1" ht="12.75" x14ac:dyDescent="0.2"/>
    <row r="898" s="32" customFormat="1" ht="12.75" x14ac:dyDescent="0.2"/>
    <row r="899" s="32" customFormat="1" ht="12.75" x14ac:dyDescent="0.2"/>
    <row r="900" s="32" customFormat="1" ht="12.75" x14ac:dyDescent="0.2"/>
    <row r="901" s="32" customFormat="1" ht="12.75" x14ac:dyDescent="0.2"/>
    <row r="902" s="32" customFormat="1" ht="12.75" x14ac:dyDescent="0.2"/>
    <row r="903" s="32" customFormat="1" ht="12.75" x14ac:dyDescent="0.2"/>
    <row r="904" s="32" customFormat="1" ht="12.75" x14ac:dyDescent="0.2"/>
    <row r="905" s="32" customFormat="1" ht="12.75" x14ac:dyDescent="0.2"/>
    <row r="906" s="32" customFormat="1" ht="12.75" x14ac:dyDescent="0.2"/>
    <row r="907" s="32" customFormat="1" ht="12.75" x14ac:dyDescent="0.2"/>
    <row r="908" s="32" customFormat="1" ht="12.75" x14ac:dyDescent="0.2"/>
    <row r="909" s="32" customFormat="1" ht="12.75" x14ac:dyDescent="0.2"/>
    <row r="910" s="32" customFormat="1" ht="12.75" x14ac:dyDescent="0.2"/>
    <row r="911" s="32" customFormat="1" ht="12.75" x14ac:dyDescent="0.2"/>
    <row r="912" s="32" customFormat="1" ht="12.75" x14ac:dyDescent="0.2"/>
    <row r="913" s="32" customFormat="1" ht="12.75" x14ac:dyDescent="0.2"/>
  </sheetData>
  <mergeCells count="12">
    <mergeCell ref="B14:B15"/>
    <mergeCell ref="J1:N1"/>
    <mergeCell ref="J5:N5"/>
    <mergeCell ref="M3:N3"/>
    <mergeCell ref="B5:H5"/>
    <mergeCell ref="B12:B13"/>
    <mergeCell ref="I7:I13"/>
    <mergeCell ref="K2:N2"/>
    <mergeCell ref="B3:D3"/>
    <mergeCell ref="B2:H2"/>
    <mergeCell ref="E3:H4"/>
    <mergeCell ref="M4:N4"/>
  </mergeCells>
  <conditionalFormatting sqref="F7:F15 L7:L15">
    <cfRule type="expression" dxfId="323" priority="2">
      <formula>IF(E7="Not measured",E7)</formula>
    </cfRule>
  </conditionalFormatting>
  <conditionalFormatting sqref="J4:L4">
    <cfRule type="cellIs" dxfId="322" priority="1" operator="equal">
      <formula>0</formula>
    </cfRule>
  </conditionalFormatting>
  <pageMargins left="0.31496062992125984" right="0.11811023622047245" top="0.39370078740157483" bottom="0.19685039370078741" header="0.19685039370078741" footer="0.11811023622047245"/>
  <pageSetup paperSize="9" scale="32" fitToHeight="0" orientation="portrait" r:id="rId1"/>
  <headerFooter>
    <oddHeader>&amp;L&amp;F&amp;R&amp;D</oddHeader>
    <oddFooter>&amp;C&amp;K02-008ScorecardVersion 2019&amp;R&amp;K01+045&amp;P                &amp;K00+000.</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Please select from one of the drop down options." xr:uid="{2AEA50E3-D6FB-4BD6-9A81-C2799A3DF5AC}">
          <x14:formula1>
            <xm:f>Calculation!$AX$3:$AX$6</xm:f>
          </x14:formula1>
          <xm:sqref>H7:H15</xm:sqref>
        </x14:dataValidation>
        <x14:dataValidation type="list" allowBlank="1" showInputMessage="1" showErrorMessage="1" prompt="Please select from one of the drop down options." xr:uid="{DD1B57AF-41C5-4043-9B8C-F4552A20D655}">
          <x14:formula1>
            <xm:f>Calculation!$AG$3:$AG$11</xm:f>
          </x14:formula1>
          <xm:sqref>F7:F15</xm:sqref>
        </x14:dataValidation>
        <x14:dataValidation type="list" allowBlank="1" showInputMessage="1" showErrorMessage="1" xr:uid="{76131C95-420A-4E74-9434-17701FADA202}">
          <x14:formula1>
            <xm:f>Calculation!$AL$3:$AL$11</xm:f>
          </x14:formula1>
          <xm:sqref>E7:E15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079DF-3765-41A3-BD41-941FFA1A3083}">
  <sheetPr codeName="Ark4">
    <tabColor theme="3" tint="0.59999389629810485"/>
    <pageSetUpPr fitToPage="1"/>
  </sheetPr>
  <dimension ref="A1:O920"/>
  <sheetViews>
    <sheetView showGridLines="0" zoomScale="80" zoomScaleNormal="80" workbookViewId="0">
      <pane xSplit="4" topLeftCell="E1" activePane="topRight" state="frozen"/>
      <selection activeCell="A9" sqref="A9"/>
      <selection pane="topRight" activeCell="B2" sqref="B2:H2"/>
    </sheetView>
  </sheetViews>
  <sheetFormatPr defaultColWidth="11.42578125" defaultRowHeight="26.25" x14ac:dyDescent="0.25"/>
  <cols>
    <col min="1" max="1" width="2.85546875" style="51" customWidth="1"/>
    <col min="2" max="2" width="20.7109375" style="52" customWidth="1"/>
    <col min="3" max="3" width="5.7109375" style="52" customWidth="1"/>
    <col min="4" max="4" width="20.7109375" style="52" customWidth="1"/>
    <col min="5" max="5" width="14.7109375" style="32" customWidth="1"/>
    <col min="6" max="6" width="15.7109375" style="32" customWidth="1"/>
    <col min="7" max="7" width="50.7109375" style="32" customWidth="1"/>
    <col min="8" max="8" width="20.7109375" style="32" customWidth="1"/>
    <col min="9" max="9" width="2.42578125" customWidth="1"/>
    <col min="10" max="10" width="30.7109375" style="32" customWidth="1"/>
    <col min="11" max="11" width="32.85546875" style="32" customWidth="1"/>
    <col min="12" max="13" width="35.28515625" style="32" customWidth="1"/>
    <col min="14" max="14" width="32.7109375" style="32" customWidth="1"/>
    <col min="15" max="15" width="2.5703125" style="32" customWidth="1"/>
    <col min="16" max="16384" width="11.42578125" style="32"/>
  </cols>
  <sheetData>
    <row r="1" spans="1:15" ht="13.5" customHeight="1" thickBot="1" x14ac:dyDescent="0.45">
      <c r="A1" s="250" t="s">
        <v>6</v>
      </c>
      <c r="B1" s="250"/>
      <c r="C1" s="250"/>
      <c r="D1" s="250"/>
      <c r="E1" s="250"/>
      <c r="F1" s="250"/>
      <c r="G1" s="250"/>
      <c r="H1" s="250"/>
      <c r="I1" s="246"/>
      <c r="J1" s="490"/>
      <c r="K1" s="490"/>
      <c r="L1" s="490"/>
      <c r="M1" s="490"/>
      <c r="N1" s="490"/>
      <c r="O1" s="244"/>
    </row>
    <row r="2" spans="1:15" ht="84.95" customHeight="1" thickTop="1" thickBot="1" x14ac:dyDescent="0.3">
      <c r="A2" s="250"/>
      <c r="B2" s="502" t="str">
        <f>VLOOKUP("Supply side assessment",Labels!$A$1:$C$1002,IF(LanguageSelection="FR",3,2),FALSE)</f>
        <v>Supply side assessment</v>
      </c>
      <c r="C2" s="502"/>
      <c r="D2" s="502"/>
      <c r="E2" s="502"/>
      <c r="F2" s="502"/>
      <c r="G2" s="502"/>
      <c r="H2" s="502"/>
      <c r="I2" s="246"/>
      <c r="J2" s="267" t="str">
        <f>VLOOKUP("Guide",Labels!$A$1:$C$1001,IF(LanguageSelection="FR",3,2),FALSE)</f>
        <v>Guide</v>
      </c>
      <c r="K2" s="496" t="str">
        <f>VLOOKUP("Supply side Guide",Labels!$A$1:$C$1001,IF(LanguageSelection="FR",3,2),FALSE)</f>
        <v>For each variable:
1) Select the market phase that best describes the situation (see benchmarks below)
2) Indicate the trend during the last two years
3) Provide an explanation for the scoring
4) Select the main type of data source used to assess the variable
When complete, provide a short description of the overall picture of the supply side of the market</v>
      </c>
      <c r="L2" s="496"/>
      <c r="M2" s="496"/>
      <c r="N2" s="496"/>
      <c r="O2" s="244"/>
    </row>
    <row r="3" spans="1:15" ht="66" customHeight="1" thickTop="1" thickBot="1" x14ac:dyDescent="0.3">
      <c r="A3" s="250"/>
      <c r="B3" s="499" t="str">
        <f>_xlfn.CONCAT(VLOOKUP("Supply side observations",Labels!$A$1:$C$1002,IF(LanguageSelection="FR",3,2),FALSE), CHAR(10),"(",VLOOKUP("Describe the overall picture of the supply side of the market",Labels!$A$1:$C$1002,IF(LanguageSelection="FR",3,2),FALSE),")")</f>
        <v>Supply side observations
(Describe the overall picture of the supply side of the market)</v>
      </c>
      <c r="C3" s="499"/>
      <c r="D3" s="499"/>
      <c r="E3" s="506"/>
      <c r="F3" s="506"/>
      <c r="G3" s="506"/>
      <c r="H3" s="506"/>
      <c r="I3" s="246"/>
      <c r="J3" s="60" t="str">
        <f>VLOOKUP("Country",Labels!$A$1:$C$3,IF(LanguageSelection="FR",3,2),FALSE)</f>
        <v>Country</v>
      </c>
      <c r="K3" s="60" t="str">
        <f>VLOOKUP("Year",Labels!$A$1:$C$1001,IF(LanguageSelection="FR",3,2),FALSE)</f>
        <v>Year</v>
      </c>
      <c r="L3" s="62" t="str">
        <f>VLOOKUP("Technology",Labels!$A$1:$C$1001,IF(LanguageSelection="FR",3,2),FALSE)</f>
        <v>Technology</v>
      </c>
      <c r="M3" s="492" t="str">
        <f>VLOOKUP("Boundaries",Labels!$A$1:$C$1001,IF(LanguageSelection="FR",3,2),FALSE)</f>
        <v>Boundaries</v>
      </c>
      <c r="N3" s="492"/>
      <c r="O3" s="246"/>
    </row>
    <row r="4" spans="1:15" s="38" customFormat="1" ht="50.1" customHeight="1" thickTop="1" thickBot="1" x14ac:dyDescent="0.3">
      <c r="A4" s="251"/>
      <c r="B4" s="307" t="str">
        <f>_xlfn.CONCAT("☞ ",VLOOKUP("Please fill out all the blue cells",Labels!$A$1:$C$1001,IF(LanguageSelection="FR",3,2),FALSE),")")</f>
        <v>☞ Please fill out all the blue cells)</v>
      </c>
      <c r="C4" s="293"/>
      <c r="D4" s="268"/>
      <c r="E4" s="506"/>
      <c r="F4" s="506"/>
      <c r="G4" s="506"/>
      <c r="H4" s="506"/>
      <c r="I4" s="246"/>
      <c r="J4" s="283">
        <f>Country</f>
        <v>0</v>
      </c>
      <c r="K4" s="284">
        <f>Year</f>
        <v>2024</v>
      </c>
      <c r="L4" s="275" t="str">
        <f>Technology</f>
        <v>Other</v>
      </c>
      <c r="M4" s="510" t="str">
        <f>_xlfn.CONCAT(VLOOKUP("Geography",Labels!$A$1:$C$1001,IF(LanguageSelection="FR",3,2),FALSE),": ",Geographical_boundaries,CHAR(10),VLOOKUP("Technology",Labels!$A$1:$C$1001,IF(LanguageSelection="FR",3,2),FALSE),": ",Technological_boundaries,CHAR(10),VLOOKUP("Target group",Labels!$A$1:$C$1001,IF(LanguageSelection="FR",3,2),FALSE),": ",Target_group_boundaries)</f>
        <v xml:space="preserve">Geography: 
Technology: 
Target group: </v>
      </c>
      <c r="N4" s="510"/>
      <c r="O4" s="251"/>
    </row>
    <row r="5" spans="1:15" ht="27.75" thickTop="1" thickBot="1" x14ac:dyDescent="0.25">
      <c r="A5" s="252"/>
      <c r="B5" s="493" t="str">
        <f>VLOOKUP("Energy Market Scores",Labels!$A$1:$C$1001,IF(LanguageSelection="FR",3,2),FALSE)</f>
        <v>Energy Market Scores</v>
      </c>
      <c r="C5" s="493"/>
      <c r="D5" s="493"/>
      <c r="E5" s="493"/>
      <c r="F5" s="493"/>
      <c r="G5" s="493"/>
      <c r="H5" s="493"/>
      <c r="I5" s="252"/>
      <c r="J5" s="491" t="str">
        <f>VLOOKUP("Scoring benchmarks",Labels!$A$1:$C$1001,IF(LanguageSelection="FR",3,2),FALSE)</f>
        <v>Scoring benchmarks</v>
      </c>
      <c r="K5" s="491"/>
      <c r="L5" s="491"/>
      <c r="M5" s="491"/>
      <c r="N5" s="491"/>
      <c r="O5" s="244"/>
    </row>
    <row r="6" spans="1:15" s="38" customFormat="1" ht="75" customHeight="1" thickTop="1" thickBot="1" x14ac:dyDescent="0.3">
      <c r="A6" s="253"/>
      <c r="B6" s="50" t="str">
        <f>VLOOKUP("Indicator",Labels!$A$1:$C$1001,IF(LanguageSelection="FR",3,2),FALSE)</f>
        <v>Indicator</v>
      </c>
      <c r="C6" s="50"/>
      <c r="D6" s="50" t="str">
        <f>VLOOKUP("Variable",Labels!$A$1:$C$1001,IF(LanguageSelection="FR",3,2),FALSE)</f>
        <v>Variable</v>
      </c>
      <c r="E6" s="59" t="str">
        <f>_xlfn.CONCAT(VLOOKUP("Market Phase",Labels!$A$1:$C$1001,IF(LanguageSelection="FR",3,2),FALSE),CHAR(10),"(",VLOOKUP("Drop-down list",Labels!$A$1:$C$1001,IF(LanguageSelection="FR",3,2),FALSE),")")</f>
        <v>Market Phase
(Drop-down list)</v>
      </c>
      <c r="F6" s="59" t="str">
        <f>_xlfn.CONCAT(VLOOKUP("Trend",Labels!$A$1:$C$1001,IF(LanguageSelection="FR",3,2),FALSE),CHAR(10),"(",VLOOKUP("Drop-down list",Labels!$A$1:$C$1001,IF(LanguageSelection="FR",3,2),FALSE),")")</f>
        <v>Trend
(Drop-down list)</v>
      </c>
      <c r="G6" s="59" t="str">
        <f>_xlfn.CONCAT(VLOOKUP("Explanation",Labels!$A$1:$C$1001,IF(LanguageSelection="FR",3,2),FALSE),CHAR(10),"(",VLOOKUP("Please provide a short explanation, max. 60 words",Labels!$A$1:$C$1001,IF(LanguageSelection="FR",3,2),FALSE),")")</f>
        <v>Explanation
(Please provide a short explanation, max. 60 words)</v>
      </c>
      <c r="H6" s="59" t="str">
        <f>_xlfn.CONCAT(VLOOKUP("Data Source",Labels!$A$1:$C$1001,IF(LanguageSelection="FR",3,2),FALSE),CHAR(10),"(",VLOOKUP("Drop-down list",Labels!$A$1:$C$1001,IF(LanguageSelection="FR",3,2),FALSE),")")</f>
        <v>Data Source
(Drop-down list)</v>
      </c>
      <c r="I6" s="255"/>
      <c r="J6" s="50" t="str">
        <f>VLOOKUP("Description",Labels!$A$1:$C$1001,IF(LanguageSelection="FR",3,2),FALSE)</f>
        <v>Description</v>
      </c>
      <c r="K6" s="34" t="s">
        <v>7</v>
      </c>
      <c r="L6" s="35" t="s">
        <v>8</v>
      </c>
      <c r="M6" s="36" t="s">
        <v>9</v>
      </c>
      <c r="N6" s="37" t="s">
        <v>10</v>
      </c>
      <c r="O6" s="251"/>
    </row>
    <row r="7" spans="1:15" ht="80.099999999999994" customHeight="1" thickTop="1" thickBot="1" x14ac:dyDescent="0.25">
      <c r="A7" s="257"/>
      <c r="B7" s="513" t="str">
        <f>VLOOKUP("s1",Labels!$A$1:$C$1001,IF(LanguageSelection="FR",3,2),FALSE)</f>
        <v>S1
Suppliers</v>
      </c>
      <c r="C7" s="49" t="s">
        <v>24</v>
      </c>
      <c r="D7" s="269" t="str">
        <f>'EAMD Scorecard'!D8</f>
        <v>Businesses</v>
      </c>
      <c r="E7" s="33"/>
      <c r="F7" s="33"/>
      <c r="G7" s="259"/>
      <c r="H7" s="258"/>
      <c r="I7" s="495"/>
      <c r="J7" s="262" t="str">
        <f>VLOOKUP($C7,Benchmarks!$D$6:$DB$48,2+VLOOKUP($L$4,Calculation!$AV$3:$AW$12,2,FALSE)+IF(LanguageSelection="FR",51,0),FALSE)</f>
        <v>Total number of suppliers (per technology, product or service. Use S4 below for component suppliers and aftersale services)</v>
      </c>
      <c r="K7" s="263" t="str">
        <f>VLOOKUP($C7,Benchmarks!$D$6:$DB$48,2+VLOOKUP($L$4,Calculation!$AV$3:$AW$12,2,FALSE)+_no_of_techs+IF(LanguageSelection="FR",51,0),FALSE)</f>
        <v>No (or very few) businesses</v>
      </c>
      <c r="L7" s="264" t="str">
        <f>VLOOKUP($C7,Benchmarks!$D$6:$DB$48,2+VLOOKUP($L$4,Calculation!$AV$3:$AW$12,2,FALSE)+_no_of_techs*2+IF(LanguageSelection="FR",51,0),FALSE)</f>
        <v>Few businesses</v>
      </c>
      <c r="M7" s="265" t="str">
        <f>VLOOKUP($C7,Benchmarks!$D$6:$DB$48,2+VLOOKUP($L$4,Calculation!$AV$3:$AW$12,2,FALSE)+_no_of_techs*3+IF(LanguageSelection="FR",51,0),FALSE)</f>
        <v>Increasing amount of new businesses entering the market</v>
      </c>
      <c r="N7" s="266" t="str">
        <f>VLOOKUP($C7,Benchmarks!$D$6:$DB$48,2+VLOOKUP($L$4,Calculation!$AV$3:$AW$12,2,FALSE)+_no_of_techs*4+IF(LanguageSelection="FR",51,0),FALSE)</f>
        <v>Number of businesses starts to decrease. Takeovers / mergers as well as emergence of dominating businesses</v>
      </c>
      <c r="O7" s="244"/>
    </row>
    <row r="8" spans="1:15" ht="80.099999999999994" customHeight="1" thickTop="1" thickBot="1" x14ac:dyDescent="0.25">
      <c r="A8" s="257"/>
      <c r="B8" s="513"/>
      <c r="C8" s="49" t="s">
        <v>26</v>
      </c>
      <c r="D8" s="269" t="str">
        <f>'EAMD Scorecard'!D9</f>
        <v>Business modalities</v>
      </c>
      <c r="E8" s="33"/>
      <c r="F8" s="33"/>
      <c r="G8" s="260"/>
      <c r="H8" s="258"/>
      <c r="I8" s="495"/>
      <c r="J8" s="262" t="str">
        <f>VLOOKUP($C8,Benchmarks!$D$6:$DB$48,2+VLOOKUP($L$4,Calculation!$AV$3:$AW$12,2,FALSE)+IF(LanguageSelection="FR",51,0),FALSE)</f>
        <v>Types of suppliers and business models including partnership agreements with other companies.</v>
      </c>
      <c r="K8" s="263" t="str">
        <f>VLOOKUP($C8,Benchmarks!$D$6:$DB$48,2+VLOOKUP($L$4,Calculation!$AV$3:$AW$12,2,FALSE)+_no_of_techs+IF(LanguageSelection="FR",51,0),FALSE)</f>
        <v>Introduced by donors/ NGOs as pilots without business or distribution models defined. No business partnerships.</v>
      </c>
      <c r="L8" s="264" t="str">
        <f>VLOOKUP($C8,Benchmarks!$D$6:$DB$48,2+VLOOKUP($L$4,Calculation!$AV$3:$AW$12,2,FALSE)+_no_of_techs*2+IF(LanguageSelection="FR",51,0),FALSE)</f>
        <v>Businesses who are mostly producers or small import/retailers with a traditional business model. Have started engaging in business partnerships.</v>
      </c>
      <c r="M8" s="265" t="str">
        <f>VLOOKUP($C8,Benchmarks!$D$6:$DB$48,2+VLOOKUP($L$4,Calculation!$AV$3:$AW$12,2,FALSE)+_no_of_techs*3+IF(LanguageSelection="FR",51,0),FALSE)</f>
        <v>Different business and distribution models in place. Businesses have more partnerships (e.g. trade credit)</v>
      </c>
      <c r="N8" s="266" t="str">
        <f>VLOOKUP($C8,Benchmarks!$D$6:$DB$48,2+VLOOKUP($L$4,Calculation!$AV$3:$AW$12,2,FALSE)+_no_of_techs*4+IF(LanguageSelection="FR",51,0),FALSE)</f>
        <v>Consolidated business models with many partnerships.</v>
      </c>
      <c r="O8" s="244"/>
    </row>
    <row r="9" spans="1:15" ht="80.099999999999994" customHeight="1" thickTop="1" thickBot="1" x14ac:dyDescent="0.25">
      <c r="A9" s="257"/>
      <c r="B9" s="513"/>
      <c r="C9" s="49" t="s">
        <v>27</v>
      </c>
      <c r="D9" s="269" t="str">
        <f>'EAMD Scorecard'!D10</f>
        <v>Formality</v>
      </c>
      <c r="E9" s="33"/>
      <c r="F9" s="33"/>
      <c r="G9" s="260"/>
      <c r="H9" s="258"/>
      <c r="I9" s="495"/>
      <c r="J9" s="262" t="str">
        <f>VLOOKUP($C9,Benchmarks!$D$6:$DB$48,2+VLOOKUP($L$4,Calculation!$AV$3:$AW$12,2,FALSE)+IF(LanguageSelection="FR",51,0),FALSE)</f>
        <v>Percentage of registered/informal suppliers.</v>
      </c>
      <c r="K9" s="263" t="str">
        <f>VLOOKUP($C9,Benchmarks!$D$6:$DB$48,2+VLOOKUP($L$4,Calculation!$AV$3:$AW$12,2,FALSE)+_no_of_techs+IF(LanguageSelection="FR",51,0),FALSE)</f>
        <v>Most businesses operate in informal settings (&gt;85% do not pay taxes).</v>
      </c>
      <c r="L9" s="264" t="str">
        <f>VLOOKUP($C9,Benchmarks!$D$6:$DB$48,2+VLOOKUP($L$4,Calculation!$AV$3:$AW$12,2,FALSE)+_no_of_techs*2+IF(LanguageSelection="FR",51,0),FALSE)</f>
        <v>Mostly, businesses operate in informal settings (67-84% do not pay tax)</v>
      </c>
      <c r="M9" s="265" t="str">
        <f>VLOOKUP($C9,Benchmarks!$D$6:$DB$48,2+VLOOKUP($L$4,Calculation!$AV$3:$AW$12,2,FALSE)+_no_of_techs*3+IF(LanguageSelection="FR",51,0),FALSE)</f>
        <v>More businesses are formally registered, (33-49%).</v>
      </c>
      <c r="N9" s="266" t="str">
        <f>VLOOKUP($C9,Benchmarks!$D$6:$DB$48,2+VLOOKUP($L$4,Calculation!$AV$3:$AW$12,2,FALSE)+_no_of_techs*4+IF(LanguageSelection="FR",51,0),FALSE)</f>
        <v>The majority are formally registered businesses.</v>
      </c>
      <c r="O9" s="244"/>
    </row>
    <row r="10" spans="1:15" ht="80.099999999999994" customHeight="1" thickTop="1" thickBot="1" x14ac:dyDescent="0.25">
      <c r="A10" s="257"/>
      <c r="B10" s="513"/>
      <c r="C10" s="49" t="s">
        <v>29</v>
      </c>
      <c r="D10" s="269" t="str">
        <f>'EAMD Scorecard'!D11</f>
        <v>Jobs created</v>
      </c>
      <c r="E10" s="33"/>
      <c r="F10" s="33"/>
      <c r="G10" s="260"/>
      <c r="H10" s="258"/>
      <c r="I10" s="495"/>
      <c r="J10" s="262" t="str">
        <f>VLOOKUP($C10,Benchmarks!$D$6:$DB$48,2+VLOOKUP($L$4,Calculation!$AV$3:$AW$12,2,FALSE)+IF(LanguageSelection="FR",51,0),FALSE)</f>
        <v>Number of employees of a typical supplier.</v>
      </c>
      <c r="K10" s="263" t="str">
        <f>VLOOKUP($C10,Benchmarks!$D$6:$DB$48,2+VLOOKUP($L$4,Calculation!$AV$3:$AW$12,2,FALSE)+_no_of_techs+IF(LanguageSelection="FR",51,0),FALSE)</f>
        <v>No (or very few) jobs created; 1-5 employees per business.</v>
      </c>
      <c r="L10" s="264" t="str">
        <f>VLOOKUP($C10,Benchmarks!$D$6:$DB$48,2+VLOOKUP($L$4,Calculation!$AV$3:$AW$12,2,FALSE)+_no_of_techs*2+IF(LanguageSelection="FR",51,0),FALSE)</f>
        <v>Low number of employees (below 20).</v>
      </c>
      <c r="M10" s="265" t="str">
        <f>VLOOKUP($C10,Benchmarks!$D$6:$DB$48,2+VLOOKUP($L$4,Calculation!$AV$3:$AW$12,2,FALSE)+_no_of_techs*3+IF(LanguageSelection="FR",51,0),FALSE)</f>
        <v>Increasing number of personnel (20–99 employees) with larger players in the market and/or small businesses grow</v>
      </c>
      <c r="N10" s="266" t="str">
        <f>VLOOKUP($C10,Benchmarks!$D$6:$DB$48,2+VLOOKUP($L$4,Calculation!$AV$3:$AW$12,2,FALSE)+_no_of_techs*4+IF(LanguageSelection="FR",51,0),FALSE)</f>
        <v>Variety of businesses with a wide range of different personnel. Total number of jobs in the market is relatively stable.</v>
      </c>
      <c r="O10" s="244"/>
    </row>
    <row r="11" spans="1:15" ht="80.099999999999994" customHeight="1" thickTop="1" thickBot="1" x14ac:dyDescent="0.25">
      <c r="A11" s="257"/>
      <c r="B11" s="513" t="str">
        <f>VLOOKUP("s2",Labels!$A$1:$C$1001,IF(LanguageSelection="FR",3,2),FALSE)</f>
        <v>S2
Sales Volume</v>
      </c>
      <c r="C11" s="49" t="s">
        <v>31</v>
      </c>
      <c r="D11" s="269" t="str">
        <f>'EAMD Scorecard'!D12</f>
        <v>Products / services sold</v>
      </c>
      <c r="E11" s="33"/>
      <c r="F11" s="33"/>
      <c r="G11" s="260"/>
      <c r="H11" s="258"/>
      <c r="I11" s="495"/>
      <c r="J11" s="262" t="str">
        <f>VLOOKUP($C11,Benchmarks!$D$6:$DB$48,2+VLOOKUP($L$4,Calculation!$AV$3:$AW$12,2,FALSE)+IF(LanguageSelection="FR",51,0),FALSE)</f>
        <v>Number of systems/products/services sold.</v>
      </c>
      <c r="K11" s="263" t="str">
        <f>VLOOKUP($C11,Benchmarks!$D$6:$DB$48,2+VLOOKUP($L$4,Calculation!$AV$3:$AW$12,2,FALSE)+_no_of_techs+IF(LanguageSelection="FR",51,0),FALSE)</f>
        <v>Very low sales volume</v>
      </c>
      <c r="L11" s="264" t="str">
        <f>VLOOKUP($C11,Benchmarks!$D$6:$DB$48,2+VLOOKUP($L$4,Calculation!$AV$3:$AW$12,2,FALSE)+_no_of_techs*2+IF(LanguageSelection="FR",51,0),FALSE)</f>
        <v>Low sales volume with slow increase</v>
      </c>
      <c r="M11" s="265" t="str">
        <f>VLOOKUP($C11,Benchmarks!$D$6:$DB$48,2+VLOOKUP($L$4,Calculation!$AV$3:$AW$12,2,FALSE)+_no_of_techs*3+IF(LanguageSelection="FR",51,0),FALSE)</f>
        <v>Higher sale volumes with rapid increase (many systems are sold)</v>
      </c>
      <c r="N11" s="266" t="str">
        <f>VLOOKUP($C11,Benchmarks!$D$6:$DB$48,2+VLOOKUP($L$4,Calculation!$AV$3:$AW$12,2,FALSE)+_no_of_techs*4+IF(LanguageSelection="FR",51,0),FALSE)</f>
        <v>Massive distribution; sales volumes stabilize at the replacement level.</v>
      </c>
      <c r="O11" s="244"/>
    </row>
    <row r="12" spans="1:15" ht="80.099999999999994" customHeight="1" thickTop="1" thickBot="1" x14ac:dyDescent="0.25">
      <c r="A12" s="257"/>
      <c r="B12" s="513"/>
      <c r="C12" s="49" t="s">
        <v>32</v>
      </c>
      <c r="D12" s="269" t="str">
        <f>'EAMD Scorecard'!D13</f>
        <v>Inventory turnover</v>
      </c>
      <c r="E12" s="33"/>
      <c r="F12" s="33"/>
      <c r="G12" s="260"/>
      <c r="H12" s="258"/>
      <c r="I12" s="495"/>
      <c r="J12" s="262" t="str">
        <f>VLOOKUP($C12,Benchmarks!$D$6:$DB$48,2+VLOOKUP($L$4,Calculation!$AV$3:$AW$12,2,FALSE)+IF(LanguageSelection="FR",51,0),FALSE)</f>
        <v>The speed of the cycle of purchase, sale, and replacement of the stock of systems/components..</v>
      </c>
      <c r="K12" s="263" t="str">
        <f>VLOOKUP($C12,Benchmarks!$D$6:$DB$48,2+VLOOKUP($L$4,Calculation!$AV$3:$AW$12,2,FALSE)+_no_of_techs+IF(LanguageSelection="FR",51,0),FALSE)</f>
        <v>Low inventory turnover ratio. Products move off shelf very slowly.</v>
      </c>
      <c r="L12" s="264" t="str">
        <f>VLOOKUP($C12,Benchmarks!$D$6:$DB$48,2+VLOOKUP($L$4,Calculation!$AV$3:$AW$12,2,FALSE)+_no_of_techs*2+IF(LanguageSelection="FR",51,0),FALSE)</f>
        <v xml:space="preserve">Inventory turnover ratio remains low.
Products still move off shelf slow. </v>
      </c>
      <c r="M12" s="265" t="str">
        <f>VLOOKUP($C12,Benchmarks!$D$6:$DB$48,2+VLOOKUP($L$4,Calculation!$AV$3:$AW$12,2,FALSE)+_no_of_techs*3+IF(LanguageSelection="FR",51,0),FALSE)</f>
        <v>High inventory turnover ratio.
Products start to move off shelf slightly faster than before. There is risk of overstocking and obsolescence.</v>
      </c>
      <c r="N12" s="266" t="str">
        <f>VLOOKUP($C12,Benchmarks!$D$6:$DB$48,2+VLOOKUP($L$4,Calculation!$AV$3:$AW$12,2,FALSE)+_no_of_techs*4+IF(LanguageSelection="FR",51,0),FALSE)</f>
        <v>Very high inventory turnover ratio.
Products move off shelf quickly most of the time.</v>
      </c>
      <c r="O12" s="244"/>
    </row>
    <row r="13" spans="1:15" ht="80.099999999999994" customHeight="1" thickTop="1" thickBot="1" x14ac:dyDescent="0.25">
      <c r="A13" s="257"/>
      <c r="B13" s="424" t="str">
        <f>VLOOKUP("s3",Labels!$A$1:$C$1001,IF(LanguageSelection="FR",3,2),FALSE)</f>
        <v>S3
Prices, costs and profits</v>
      </c>
      <c r="C13" s="49" t="s">
        <v>472</v>
      </c>
      <c r="D13" s="269" t="str">
        <f>'EAMD Scorecard'!D17</f>
        <v>Profits and Investments</v>
      </c>
      <c r="E13" s="33"/>
      <c r="F13" s="33"/>
      <c r="G13" s="260"/>
      <c r="H13" s="258"/>
      <c r="I13" s="495"/>
      <c r="J13" s="262" t="str">
        <f>VLOOKUP($C13,Benchmarks!$D$6:$DB$48,2+VLOOKUP($L$4,Calculation!$AV$3:$AW$12,2,FALSE)+IF(LanguageSelection="FR",51,0),FALSE)</f>
        <v>Profit margin and investments by suppliers to increase production and/or sales.</v>
      </c>
      <c r="K13" s="263" t="str">
        <f>VLOOKUP($C13,Benchmarks!$D$6:$DB$48,2+VLOOKUP($L$4,Calculation!$AV$3:$AW$12,2,FALSE)+_no_of_techs+IF(LanguageSelection="FR",51,0),FALSE)</f>
        <v>No (negative or very low) profit margins. No private investments for this reason and because of uncertain future demand. Investments are subsidised by donors.</v>
      </c>
      <c r="L13" s="264" t="str">
        <f>VLOOKUP($C13,Benchmarks!$D$6:$DB$48,2+VLOOKUP($L$4,Calculation!$AV$3:$AW$12,2,FALSE)+_no_of_techs*2+IF(LanguageSelection="FR",51,0),FALSE)</f>
        <v>Low positive profit margins which are  starting to increase. Some businesses invest or have plans to do so.</v>
      </c>
      <c r="M13" s="265" t="str">
        <f>VLOOKUP($C13,Benchmarks!$D$6:$DB$48,2+VLOOKUP($L$4,Calculation!$AV$3:$AW$12,2,FALSE)+_no_of_techs*3+IF(LanguageSelection="FR",51,0),FALSE)</f>
        <v>Profit margins increase. They are maximised during this phase. More businesses invest and make plans to expand their business.</v>
      </c>
      <c r="N13" s="266" t="str">
        <f>VLOOKUP($C13,Benchmarks!$D$6:$DB$48,2+VLOOKUP($L$4,Calculation!$AV$3:$AW$12,2,FALSE)+_no_of_techs*4+IF(LanguageSelection="FR",51,0),FALSE)</f>
        <v>Profit margins decrease. Over 50% of businesses invest, diversify and expand business</v>
      </c>
      <c r="O13" s="244"/>
    </row>
    <row r="14" spans="1:15" ht="80.099999999999994" customHeight="1" thickTop="1" thickBot="1" x14ac:dyDescent="0.25">
      <c r="A14" s="257"/>
      <c r="B14" s="513" t="str">
        <f>VLOOKUP("s4",Labels!$A$1:$C$1001,IF(LanguageSelection="FR",3,2),FALSE)</f>
        <v>S4
Supply chain development and after-sales service</v>
      </c>
      <c r="C14" s="135" t="s">
        <v>36</v>
      </c>
      <c r="D14" s="269" t="str">
        <f>'EAMD Scorecard'!D18</f>
        <v>Length of supply chain</v>
      </c>
      <c r="E14" s="33"/>
      <c r="F14" s="33"/>
      <c r="G14" s="260"/>
      <c r="H14" s="258"/>
      <c r="I14" s="495"/>
      <c r="J14" s="262" t="str">
        <f>VLOOKUP($C14,Benchmarks!$D$6:$DB$48,2+VLOOKUP($L$4,Calculation!$AV$3:$AW$12,2,FALSE)+IF(LanguageSelection="FR",51,0),FALSE)</f>
        <v>Number of market participants at each step of the supply chain.</v>
      </c>
      <c r="K14" s="263" t="str">
        <f>VLOOKUP($C14,Benchmarks!$D$6:$DB$48,2+VLOOKUP($L$4,Calculation!$AV$3:$AW$12,2,FALSE)+_no_of_techs+IF(LanguageSelection="FR",51,0),FALSE)</f>
        <v>Two-step supply chain: Supplier (producer-distributor or importer-distributor) to customers</v>
      </c>
      <c r="L14" s="264" t="str">
        <f>VLOOKUP($C14,Benchmarks!$D$6:$DB$48,2+VLOOKUP($L$4,Calculation!$AV$3:$AW$12,2,FALSE)+_no_of_techs*2+IF(LanguageSelection="FR",51,0),FALSE)</f>
        <v>Short supply chains: Production/import, distribution, retail and wholesale usually done by the same entity.</v>
      </c>
      <c r="M14" s="265" t="str">
        <f>VLOOKUP($C14,Benchmarks!$D$6:$DB$48,2+VLOOKUP($L$4,Calculation!$AV$3:$AW$12,2,FALSE)+_no_of_techs*3+IF(LanguageSelection="FR",51,0),FALSE)</f>
        <v>Visible growth of supply chains: Different stages of the supply chain are done by different entities.</v>
      </c>
      <c r="N14" s="266" t="str">
        <f>VLOOKUP($C14,Benchmarks!$D$6:$DB$48,2+VLOOKUP($L$4,Calculation!$AV$3:$AW$12,2,FALSE)+_no_of_techs*4+IF(LanguageSelection="FR",51,0),FALSE)</f>
        <v>Complex and/or efficient supply chains: Clearly defined stages of the supply chain are done by different entities.</v>
      </c>
      <c r="O14" s="244"/>
    </row>
    <row r="15" spans="1:15" ht="80.099999999999994" customHeight="1" thickTop="1" thickBot="1" x14ac:dyDescent="0.25">
      <c r="A15" s="257"/>
      <c r="B15" s="513"/>
      <c r="C15" s="135" t="s">
        <v>37</v>
      </c>
      <c r="D15" s="269" t="str">
        <f>'EAMD Scorecard'!D19</f>
        <v>Distribution channels</v>
      </c>
      <c r="E15" s="33"/>
      <c r="F15" s="33"/>
      <c r="G15" s="260"/>
      <c r="H15" s="258"/>
      <c r="I15" s="495"/>
      <c r="J15" s="262" t="str">
        <f>VLOOKUP($C15,Benchmarks!$D$6:$DB$48,2+VLOOKUP($L$4,Calculation!$AV$3:$AW$12,2,FALSE)+IF(LanguageSelection="FR",51,0),FALSE)</f>
        <v>Efficiency of distribution channels and capacity to adapt to changes in demand.</v>
      </c>
      <c r="K15" s="263" t="str">
        <f>VLOOKUP($C15,Benchmarks!$D$6:$DB$48,2+VLOOKUP($L$4,Calculation!$AV$3:$AW$12,2,FALSE)+_no_of_techs+IF(LanguageSelection="FR",51,0),FALSE)</f>
        <v>Appropriate distribution channels do not exist.</v>
      </c>
      <c r="L15" s="264" t="str">
        <f>VLOOKUP($C15,Benchmarks!$D$6:$DB$48,2+VLOOKUP($L$4,Calculation!$AV$3:$AW$12,2,FALSE)+_no_of_techs*2+IF(LanguageSelection="FR",51,0),FALSE)</f>
        <v>Weak distribution channels</v>
      </c>
      <c r="M15" s="265" t="str">
        <f>VLOOKUP($C15,Benchmarks!$D$6:$DB$48,2+VLOOKUP($L$4,Calculation!$AV$3:$AW$12,2,FALSE)+_no_of_techs*3+IF(LanguageSelection="FR",51,0),FALSE)</f>
        <v>Improved distribution channels/network</v>
      </c>
      <c r="N15" s="266" t="str">
        <f>VLOOKUP($C15,Benchmarks!$D$6:$DB$48,2+VLOOKUP($L$4,Calculation!$AV$3:$AW$12,2,FALSE)+_no_of_techs*4+IF(LanguageSelection="FR",51,0),FALSE)</f>
        <v>Distribution channels/network consolidated</v>
      </c>
      <c r="O15" s="244"/>
    </row>
    <row r="16" spans="1:15" ht="80.099999999999994" customHeight="1" thickTop="1" thickBot="1" x14ac:dyDescent="0.25">
      <c r="A16" s="257"/>
      <c r="B16" s="513"/>
      <c r="C16" s="135" t="s">
        <v>485</v>
      </c>
      <c r="D16" s="269" t="str">
        <f>'EAMD Scorecard'!D21</f>
        <v>Initial suppliers</v>
      </c>
      <c r="E16" s="33"/>
      <c r="F16" s="33"/>
      <c r="G16" s="260"/>
      <c r="H16" s="258"/>
      <c r="I16" s="495"/>
      <c r="J16" s="262" t="str">
        <f>VLOOKUP($C16,Benchmarks!$D$6:$DB$48,2+VLOOKUP($L$4,Calculation!$AV$3:$AW$12,2,FALSE)+IF(LanguageSelection="FR",51,0),FALSE)</f>
        <v>Number of suppliers to the supply-side businesses e.g. specialised service providers and component-suppliers (raw materials, spare parts, accessories, etc.)</v>
      </c>
      <c r="K16" s="263" t="str">
        <f>VLOOKUP($C16,Benchmarks!$D$6:$DB$48,2+VLOOKUP($L$4,Calculation!$AV$3:$AW$12,2,FALSE)+_no_of_techs+IF(LanguageSelection="FR",51,0),FALSE)</f>
        <v>None or very few initial suppliers</v>
      </c>
      <c r="L16" s="264" t="str">
        <f>VLOOKUP($C16,Benchmarks!$D$6:$DB$48,2+VLOOKUP($L$4,Calculation!$AV$3:$AW$12,2,FALSE)+_no_of_techs*2+IF(LanguageSelection="FR",51,0),FALSE)</f>
        <v>Few initial suppliers</v>
      </c>
      <c r="M16" s="265" t="str">
        <f>VLOOKUP($C16,Benchmarks!$D$6:$DB$48,2+VLOOKUP($L$4,Calculation!$AV$3:$AW$12,2,FALSE)+_no_of_techs*3+IF(LanguageSelection="FR",51,0),FALSE)</f>
        <v>Many initial suppliers</v>
      </c>
      <c r="N16" s="266" t="str">
        <f>VLOOKUP($C16,Benchmarks!$D$6:$DB$48,2+VLOOKUP($L$4,Calculation!$AV$3:$AW$12,2,FALSE)+_no_of_techs*4+IF(LanguageSelection="FR",51,0),FALSE)</f>
        <v>Established network infrastructure of initial suppliers</v>
      </c>
      <c r="O16" s="244"/>
    </row>
    <row r="17" spans="1:15" ht="80.099999999999994" customHeight="1" thickTop="1" thickBot="1" x14ac:dyDescent="0.25">
      <c r="A17" s="257"/>
      <c r="B17" s="513"/>
      <c r="C17" s="135" t="s">
        <v>38</v>
      </c>
      <c r="D17" s="269" t="str">
        <f>'EAMD Scorecard'!D22</f>
        <v>After-sales service providers</v>
      </c>
      <c r="E17" s="33"/>
      <c r="F17" s="33"/>
      <c r="G17" s="260"/>
      <c r="H17" s="258"/>
      <c r="I17" s="495"/>
      <c r="J17" s="262" t="str">
        <f>VLOOKUP($C17,Benchmarks!$D$6:$DB$48,2+VLOOKUP($L$4,Calculation!$AV$3:$AW$12,2,FALSE)+IF(LanguageSelection="FR",51,0),FALSE)</f>
        <v>Number of businesses providing specialised aftersale services to end-users (for instance on repairs).</v>
      </c>
      <c r="K17" s="263" t="str">
        <f>VLOOKUP($C17,Benchmarks!$D$6:$DB$48,2+VLOOKUP($L$4,Calculation!$AV$3:$AW$12,2,FALSE)+_no_of_techs+IF(LanguageSelection="FR",51,0),FALSE)</f>
        <v xml:space="preserve">Services are not available yet </v>
      </c>
      <c r="L17" s="264" t="str">
        <f>VLOOKUP($C17,Benchmarks!$D$6:$DB$48,2+VLOOKUP($L$4,Calculation!$AV$3:$AW$12,2,FALSE)+_no_of_techs*2+IF(LanguageSelection="FR",51,0),FALSE)</f>
        <v>Services are partially available</v>
      </c>
      <c r="M17" s="265" t="str">
        <f>VLOOKUP($C17,Benchmarks!$D$6:$DB$48,2+VLOOKUP($L$4,Calculation!$AV$3:$AW$12,2,FALSE)+_no_of_techs*3+IF(LanguageSelection="FR",51,0),FALSE)</f>
        <v>Service easily available</v>
      </c>
      <c r="N17" s="266" t="str">
        <f>VLOOKUP($C17,Benchmarks!$D$6:$DB$48,2+VLOOKUP($L$4,Calculation!$AV$3:$AW$12,2,FALSE)+_no_of_techs*4+IF(LanguageSelection="FR",51,0),FALSE)</f>
        <v>Widespread availability of services</v>
      </c>
      <c r="O17" s="244"/>
    </row>
    <row r="18" spans="1:15" ht="80.099999999999994" customHeight="1" thickTop="1" thickBot="1" x14ac:dyDescent="0.25">
      <c r="A18" s="257"/>
      <c r="B18" s="261" t="str">
        <f>VLOOKUP("s7",Labels!$A$1:$C$1001,IF(LanguageSelection="FR",3,2),FALSE)</f>
        <v>S5
Warranties</v>
      </c>
      <c r="C18" s="49" t="s">
        <v>490</v>
      </c>
      <c r="D18" s="269" t="str">
        <f>'EAMD Scorecard'!D26</f>
        <v>Warranties</v>
      </c>
      <c r="E18" s="33"/>
      <c r="F18" s="33"/>
      <c r="G18" s="260"/>
      <c r="H18" s="258"/>
      <c r="I18" s="495"/>
      <c r="J18" s="262" t="str">
        <f>VLOOKUP($C18,Benchmarks!$D$6:$DB$48,2+VLOOKUP($L$4,Calculation!$AV$3:$AW$12,2,FALSE)+IF(LanguageSelection="FR",51,0),FALSE)</f>
        <v>Share of suppliers that offer warranties to their customers and fulfill warranty claims.</v>
      </c>
      <c r="K18" s="263" t="str">
        <f>VLOOKUP($C18,Benchmarks!$D$6:$DB$48,2+VLOOKUP($L$4,Calculation!$AV$3:$AW$12,2,FALSE)+_no_of_techs+IF(LanguageSelection="FR",51,0),FALSE)</f>
        <v>Warranties are not granted.</v>
      </c>
      <c r="L18" s="264" t="str">
        <f>VLOOKUP($C18,Benchmarks!$D$6:$DB$48,2+VLOOKUP($L$4,Calculation!$AV$3:$AW$12,2,FALSE)+_no_of_techs*2+IF(LanguageSelection="FR",51,0),FALSE)</f>
        <v>Warranties limited to “lower” risk products (e.g. high quality products or very robust products), only few businesses offer warranties.</v>
      </c>
      <c r="M18" s="265" t="str">
        <f>VLOOKUP($C18,Benchmarks!$D$6:$DB$48,2+VLOOKUP($L$4,Calculation!$AV$3:$AW$12,2,FALSE)+_no_of_techs*3+IF(LanguageSelection="FR",51,0),FALSE)</f>
        <v>Warranties implemented to promote sales and brand loyalty, as well as to encourage consumer trust in the product/service.</v>
      </c>
      <c r="N18" s="266" t="str">
        <f>VLOOKUP($C18,Benchmarks!$D$6:$DB$48,2+VLOOKUP($L$4,Calculation!$AV$3:$AW$12,2,FALSE)+_no_of_techs*4+IF(LanguageSelection="FR",51,0),FALSE)</f>
        <v>Warranties are an integral offer of quality technology suppliers.</v>
      </c>
      <c r="O18" s="244"/>
    </row>
    <row r="19" spans="1:15" ht="80.099999999999994" customHeight="1" thickTop="1" thickBot="1" x14ac:dyDescent="0.25">
      <c r="A19" s="257"/>
      <c r="B19" s="512" t="str">
        <f>VLOOKUP("s8",Labels!$A$1:$C$1001,IF(LanguageSelection="FR",3,2),FALSE)</f>
        <v>S6
Entrepreneurial skills</v>
      </c>
      <c r="C19" s="136" t="s">
        <v>491</v>
      </c>
      <c r="D19" s="269" t="str">
        <f>'EAMD Scorecard'!D27</f>
        <v>Business skills</v>
      </c>
      <c r="E19" s="33"/>
      <c r="F19" s="33"/>
      <c r="G19" s="260"/>
      <c r="H19" s="258"/>
      <c r="I19" s="495"/>
      <c r="J19" s="262" t="str">
        <f>VLOOKUP($C19,Benchmarks!$D$6:$DB$48,2+VLOOKUP($L$4,Calculation!$AV$3:$AW$12,2,FALSE)+IF(LanguageSelection="FR",51,0),FALSE)</f>
        <v>Extent and quality of records keeping, business plans, and price setting.</v>
      </c>
      <c r="K19" s="263" t="str">
        <f>VLOOKUP($C19,Benchmarks!$D$6:$DB$48,2+VLOOKUP($L$4,Calculation!$AV$3:$AW$12,2,FALSE)+_no_of_techs+IF(LanguageSelection="FR",51,0),FALSE)</f>
        <v xml:space="preserve">Business skills are low (e.g. wrong price setting, insufficient record keeping, no business plans). </v>
      </c>
      <c r="L19" s="264" t="str">
        <f>VLOOKUP($C19,Benchmarks!$D$6:$DB$48,2+VLOOKUP($L$4,Calculation!$AV$3:$AW$12,2,FALSE)+_no_of_techs*2+IF(LanguageSelection="FR",51,0),FALSE)</f>
        <v>Some business skills develop.</v>
      </c>
      <c r="M19" s="265" t="str">
        <f>VLOOKUP($C19,Benchmarks!$D$6:$DB$48,2+VLOOKUP($L$4,Calculation!$AV$3:$AW$12,2,FALSE)+_no_of_techs*3+IF(LanguageSelection="FR",51,0),FALSE)</f>
        <v>Business skills are improved.</v>
      </c>
      <c r="N19" s="266" t="str">
        <f>VLOOKUP($C19,Benchmarks!$D$6:$DB$48,2+VLOOKUP($L$4,Calculation!$AV$3:$AW$12,2,FALSE)+_no_of_techs*4+IF(LanguageSelection="FR",51,0),FALSE)</f>
        <v>Good business skills</v>
      </c>
      <c r="O19" s="244"/>
    </row>
    <row r="20" spans="1:15" ht="80.099999999999994" customHeight="1" thickTop="1" thickBot="1" x14ac:dyDescent="0.25">
      <c r="A20" s="257"/>
      <c r="B20" s="512"/>
      <c r="C20" s="136" t="s">
        <v>492</v>
      </c>
      <c r="D20" s="269" t="str">
        <f>'EAMD Scorecard'!D29</f>
        <v>Marketing skills</v>
      </c>
      <c r="E20" s="33"/>
      <c r="F20" s="33"/>
      <c r="G20" s="260"/>
      <c r="H20" s="258"/>
      <c r="I20" s="495"/>
      <c r="J20" s="262" t="str">
        <f>VLOOKUP($C20,Benchmarks!$D$6:$DB$48,2+VLOOKUP($L$4,Calculation!$AV$3:$AW$12,2,FALSE)+IF(LanguageSelection="FR",51,0),FALSE)</f>
        <v>Extent and type of marketing, and level of professionalism in marketing activities.</v>
      </c>
      <c r="K20" s="263" t="str">
        <f>VLOOKUP($C20,Benchmarks!$D$6:$DB$48,2+VLOOKUP($L$4,Calculation!$AV$3:$AW$12,2,FALSE)+_no_of_techs+IF(LanguageSelection="FR",51,0),FALSE)</f>
        <v xml:space="preserve">Advertising is mostly based on word-of-mouth. Donors and government agencies do limited marketing. Businesses do not run marketing activities. </v>
      </c>
      <c r="L20" s="264" t="str">
        <f>VLOOKUP($C20,Benchmarks!$D$6:$DB$48,2+VLOOKUP($L$4,Calculation!$AV$3:$AW$12,2,FALSE)+_no_of_techs*2+IF(LanguageSelection="FR",51,0),FALSE)</f>
        <v>Advertising is done by donors and to a limited extent by businesses (e.g. sign in front of the shop). Businesses have little knowledge to run marketing activities.</v>
      </c>
      <c r="M20" s="265" t="str">
        <f>VLOOKUP($C20,Benchmarks!$D$6:$DB$48,2+VLOOKUP($L$4,Calculation!$AV$3:$AW$12,2,FALSE)+_no_of_techs*3+IF(LanguageSelection="FR",51,0),FALSE)</f>
        <v>Businesses advertise in diversified manner (e.g. showrooms, radio, bike ads). Businesses understand the potential of marketing.</v>
      </c>
      <c r="N20" s="266" t="str">
        <f>VLOOKUP($C20,Benchmarks!$D$6:$DB$48,2+VLOOKUP($L$4,Calculation!$AV$3:$AW$12,2,FALSE)+_no_of_techs*4+IF(LanguageSelection="FR",51,0),FALSE)</f>
        <v>Advertising directed towards special groups. Businesses  exploit marketing potential and  effectiveness is measured.</v>
      </c>
      <c r="O20" s="244"/>
    </row>
    <row r="21" spans="1:15" ht="80.099999999999994" customHeight="1" thickTop="1" thickBot="1" x14ac:dyDescent="0.25">
      <c r="A21" s="257"/>
      <c r="B21" s="512"/>
      <c r="C21" s="136" t="s">
        <v>759</v>
      </c>
      <c r="D21" s="269" t="str">
        <f>'EAMD Scorecard'!D31</f>
        <v>Production skills</v>
      </c>
      <c r="E21" s="33"/>
      <c r="F21" s="33"/>
      <c r="G21" s="260"/>
      <c r="H21" s="258"/>
      <c r="I21" s="495"/>
      <c r="J21" s="262" t="str">
        <f>VLOOKUP($C21,Benchmarks!$D$6:$DB$48,2+VLOOKUP($L$4,Calculation!$AV$3:$AW$12,2,FALSE)+IF(LanguageSelection="FR",51,0),FALSE)</f>
        <v>Only relevant for local production: Ability to produce consistently in terms of quality and quantity.</v>
      </c>
      <c r="K21" s="263" t="str">
        <f>VLOOKUP($C21,Benchmarks!$D$6:$DB$48,2+VLOOKUP($L$4,Calculation!$AV$3:$AW$12,2,FALSE)+_no_of_techs+IF(LanguageSelection="FR",51,0),FALSE)</f>
        <v>Few producers have standardized production processes and all steps are manual. Most struggle to produce good quality.</v>
      </c>
      <c r="L21" s="264" t="str">
        <f>VLOOKUP($C21,Benchmarks!$D$6:$DB$48,2+VLOOKUP($L$4,Calculation!$AV$3:$AW$12,2,FALSE)+_no_of_techs*2+IF(LanguageSelection="FR",51,0),FALSE)</f>
        <v>Some producers have standardized production processes and most steps are manual. The quality standard  is varying.</v>
      </c>
      <c r="M21" s="265" t="str">
        <f>VLOOKUP($C21,Benchmarks!$D$6:$DB$48,2+VLOOKUP($L$4,Calculation!$AV$3:$AW$12,2,FALSE)+_no_of_techs*3+IF(LanguageSelection="FR",51,0),FALSE)</f>
        <v>Most producers have standardized production processes with some level of automatisation. In general, quality is high.</v>
      </c>
      <c r="N21" s="266" t="str">
        <f>VLOOKUP($C21,Benchmarks!$D$6:$DB$48,2+VLOOKUP($L$4,Calculation!$AV$3:$AW$12,2,FALSE)+_no_of_techs*4+IF(LanguageSelection="FR",51,0),FALSE)</f>
        <v>High level of standardised production with several automated steps. Product quality is consitent and very high.</v>
      </c>
      <c r="O21" s="244"/>
    </row>
    <row r="22" spans="1:15" ht="0.95" customHeight="1" thickTop="1" thickBot="1" x14ac:dyDescent="0.25">
      <c r="A22" s="257"/>
      <c r="B22" s="512"/>
      <c r="C22" s="136"/>
      <c r="D22" s="269"/>
      <c r="E22" s="33"/>
      <c r="F22" s="33"/>
      <c r="G22" s="260"/>
      <c r="H22" s="258"/>
      <c r="I22" s="495"/>
      <c r="J22" s="262" t="e">
        <f>VLOOKUP($C22,Benchmarks!$D$6:$BC$48,3+VLOOKUP($L$4,Calculation!$AV$3:$AW$9,2,FALSE),FALSE)</f>
        <v>#N/A</v>
      </c>
      <c r="K22" s="263" t="e">
        <f>VLOOKUP($C22,Benchmarks!$D$6:$BC$48,3+VLOOKUP($L$4,Calculation!$AV$3:$AW$9,2,FALSE)+_no_of_techs,FALSE)</f>
        <v>#N/A</v>
      </c>
      <c r="L22" s="264" t="e">
        <f>VLOOKUP($C22,Benchmarks!$D$6:$BC$48,3+VLOOKUP($L$4,Calculation!$AV$3:$AW$9,2,FALSE)+_no_of_techs*2,FALSE)</f>
        <v>#N/A</v>
      </c>
      <c r="M22" s="265" t="e">
        <f>VLOOKUP($C22,Benchmarks!$D$6:$BC$48,3+VLOOKUP($L$4,Calculation!$AV$3:$AW$9,2,FALSE)+_no_of_techs*3,FALSE)</f>
        <v>#N/A</v>
      </c>
      <c r="N22" s="266" t="e">
        <f>VLOOKUP($C22,Benchmarks!$D$6:$BC$48,3+VLOOKUP($L$4,Calculation!$AV$3:$AW$9,2,FALSE)+_no_of_techs*4,FALSE)</f>
        <v>#N/A</v>
      </c>
      <c r="O22" s="244"/>
    </row>
    <row r="23" spans="1:15" ht="12" customHeight="1" thickTop="1" x14ac:dyDescent="0.25">
      <c r="A23" s="244"/>
      <c r="B23" s="244"/>
      <c r="C23" s="244"/>
      <c r="D23" s="244"/>
      <c r="E23" s="254"/>
      <c r="F23" s="254"/>
      <c r="G23" s="254"/>
      <c r="H23" s="254"/>
      <c r="I23" s="246"/>
      <c r="J23" s="244"/>
      <c r="K23" s="244"/>
      <c r="L23" s="244"/>
      <c r="M23" s="244"/>
      <c r="N23" s="244"/>
      <c r="O23" s="244"/>
    </row>
    <row r="24" spans="1:15" ht="15" x14ac:dyDescent="0.25">
      <c r="A24" s="32"/>
      <c r="B24" s="32"/>
      <c r="C24" s="32"/>
      <c r="D24" s="32"/>
      <c r="E24" s="52"/>
      <c r="F24" s="52"/>
      <c r="G24" s="52"/>
      <c r="H24" s="52"/>
    </row>
    <row r="25" spans="1:15" ht="15" x14ac:dyDescent="0.25">
      <c r="A25" s="32"/>
      <c r="B25" s="32"/>
      <c r="C25" s="32"/>
      <c r="D25" s="32"/>
      <c r="E25" s="52"/>
      <c r="F25" s="52"/>
      <c r="G25" s="52"/>
      <c r="H25" s="52"/>
    </row>
    <row r="26" spans="1:15" ht="15" x14ac:dyDescent="0.25">
      <c r="A26" s="32"/>
      <c r="B26" s="32"/>
      <c r="C26" s="32"/>
      <c r="D26" s="32"/>
      <c r="E26" s="52"/>
      <c r="F26" s="52"/>
      <c r="G26" s="52"/>
      <c r="H26" s="52"/>
    </row>
    <row r="27" spans="1:15" ht="15" x14ac:dyDescent="0.25">
      <c r="A27" s="32"/>
      <c r="B27" s="32"/>
      <c r="C27" s="32"/>
      <c r="D27" s="32"/>
      <c r="E27" s="52"/>
      <c r="F27" s="52"/>
      <c r="G27" s="52"/>
      <c r="H27" s="52"/>
    </row>
    <row r="28" spans="1:15" ht="15" x14ac:dyDescent="0.25">
      <c r="A28" s="32"/>
      <c r="B28" s="32"/>
      <c r="C28" s="32"/>
      <c r="D28" s="32"/>
      <c r="E28" s="52"/>
      <c r="F28" s="52"/>
      <c r="G28" s="52"/>
      <c r="H28" s="52"/>
    </row>
    <row r="29" spans="1:15" ht="15" x14ac:dyDescent="0.25">
      <c r="A29" s="32"/>
      <c r="B29" s="32"/>
      <c r="C29" s="32"/>
      <c r="D29" s="32"/>
      <c r="E29" s="52"/>
      <c r="F29" s="52"/>
      <c r="G29" s="52"/>
      <c r="H29" s="52"/>
    </row>
    <row r="30" spans="1:15" ht="15" x14ac:dyDescent="0.25">
      <c r="A30" s="32"/>
      <c r="B30" s="32"/>
      <c r="C30" s="32"/>
      <c r="D30" s="32"/>
      <c r="E30" s="52"/>
      <c r="F30" s="52"/>
      <c r="G30" s="52"/>
      <c r="H30" s="52"/>
    </row>
    <row r="31" spans="1:15" ht="15" x14ac:dyDescent="0.25">
      <c r="A31" s="32"/>
      <c r="B31" s="32"/>
      <c r="C31" s="32"/>
      <c r="D31" s="32"/>
      <c r="E31" s="52"/>
      <c r="F31" s="52"/>
      <c r="G31" s="52"/>
      <c r="H31" s="52"/>
    </row>
    <row r="32" spans="1:15" ht="15" x14ac:dyDescent="0.25">
      <c r="A32" s="32"/>
      <c r="B32" s="32"/>
      <c r="C32" s="32"/>
      <c r="D32" s="32"/>
      <c r="F32" s="52"/>
      <c r="G32" s="52"/>
      <c r="H32" s="52"/>
    </row>
    <row r="33" spans="1:8" ht="15" x14ac:dyDescent="0.25">
      <c r="A33" s="32"/>
      <c r="B33" s="32"/>
      <c r="C33" s="32"/>
      <c r="D33" s="32"/>
      <c r="F33" s="52"/>
      <c r="G33" s="52"/>
      <c r="H33" s="52"/>
    </row>
    <row r="34" spans="1:8" ht="15" x14ac:dyDescent="0.25">
      <c r="A34" s="32"/>
      <c r="B34" s="32"/>
      <c r="C34" s="32"/>
      <c r="D34" s="32"/>
      <c r="F34" s="52"/>
      <c r="G34" s="52"/>
      <c r="H34" s="52"/>
    </row>
    <row r="35" spans="1:8" ht="15" x14ac:dyDescent="0.25">
      <c r="A35" s="32"/>
      <c r="B35" s="32"/>
      <c r="C35" s="32"/>
      <c r="D35" s="32"/>
      <c r="F35" s="52"/>
      <c r="G35" s="52"/>
      <c r="H35" s="52"/>
    </row>
    <row r="36" spans="1:8" ht="15" x14ac:dyDescent="0.25">
      <c r="A36" s="32"/>
      <c r="B36" s="32"/>
      <c r="C36" s="32"/>
      <c r="D36" s="32"/>
      <c r="F36" s="52"/>
      <c r="G36" s="52"/>
      <c r="H36" s="52"/>
    </row>
    <row r="37" spans="1:8" ht="15" x14ac:dyDescent="0.25">
      <c r="A37" s="32"/>
      <c r="B37" s="32"/>
      <c r="C37" s="32"/>
      <c r="D37" s="32"/>
      <c r="F37" s="52"/>
      <c r="G37" s="52"/>
      <c r="H37" s="52"/>
    </row>
    <row r="38" spans="1:8" ht="15" x14ac:dyDescent="0.25">
      <c r="A38" s="32"/>
      <c r="B38" s="32"/>
      <c r="C38" s="32"/>
      <c r="D38" s="32"/>
      <c r="F38" s="52"/>
      <c r="G38" s="52"/>
      <c r="H38" s="52"/>
    </row>
    <row r="39" spans="1:8" ht="15" x14ac:dyDescent="0.25">
      <c r="A39" s="32"/>
      <c r="B39" s="32"/>
      <c r="C39" s="32"/>
      <c r="D39" s="32"/>
      <c r="F39" s="52"/>
      <c r="G39" s="52"/>
      <c r="H39" s="52"/>
    </row>
    <row r="40" spans="1:8" ht="15" x14ac:dyDescent="0.25">
      <c r="A40" s="32"/>
      <c r="B40" s="32"/>
      <c r="C40" s="32"/>
      <c r="D40" s="32"/>
      <c r="F40" s="52"/>
      <c r="G40" s="52"/>
      <c r="H40" s="52"/>
    </row>
    <row r="41" spans="1:8" ht="15" x14ac:dyDescent="0.25">
      <c r="A41" s="32"/>
      <c r="B41" s="32"/>
      <c r="C41" s="32"/>
      <c r="D41" s="32"/>
      <c r="F41" s="52"/>
      <c r="G41" s="52"/>
      <c r="H41" s="52"/>
    </row>
    <row r="42" spans="1:8" ht="15" x14ac:dyDescent="0.25">
      <c r="A42" s="32"/>
      <c r="B42" s="32"/>
      <c r="C42" s="32"/>
      <c r="D42" s="32"/>
      <c r="F42" s="52"/>
      <c r="G42" s="52"/>
      <c r="H42" s="52"/>
    </row>
    <row r="43" spans="1:8" ht="15" x14ac:dyDescent="0.25">
      <c r="A43" s="32"/>
      <c r="B43" s="32"/>
      <c r="C43" s="32"/>
      <c r="D43" s="32"/>
      <c r="F43" s="52"/>
      <c r="G43" s="52"/>
      <c r="H43" s="52"/>
    </row>
    <row r="44" spans="1:8" ht="15" x14ac:dyDescent="0.25">
      <c r="A44" s="32"/>
      <c r="B44" s="32"/>
      <c r="C44" s="32"/>
      <c r="D44" s="32"/>
      <c r="F44" s="52"/>
      <c r="G44" s="52"/>
      <c r="H44" s="52"/>
    </row>
    <row r="45" spans="1:8" ht="15" x14ac:dyDescent="0.25">
      <c r="A45" s="32"/>
      <c r="B45" s="32"/>
      <c r="C45" s="32"/>
      <c r="D45" s="32"/>
      <c r="F45" s="52"/>
      <c r="G45" s="52"/>
      <c r="H45" s="52"/>
    </row>
    <row r="46" spans="1:8" ht="15" x14ac:dyDescent="0.25">
      <c r="A46" s="32"/>
      <c r="B46" s="32"/>
      <c r="C46" s="32"/>
      <c r="D46" s="32"/>
      <c r="F46" s="52"/>
      <c r="G46" s="52"/>
      <c r="H46" s="52"/>
    </row>
    <row r="47" spans="1:8" ht="15" x14ac:dyDescent="0.25">
      <c r="A47" s="32"/>
      <c r="B47" s="32"/>
      <c r="C47" s="32"/>
      <c r="D47" s="32"/>
      <c r="F47" s="52"/>
      <c r="G47" s="52"/>
      <c r="H47" s="52"/>
    </row>
    <row r="48" spans="1:8" ht="15" x14ac:dyDescent="0.25">
      <c r="A48" s="32"/>
      <c r="B48" s="32"/>
      <c r="C48" s="32"/>
      <c r="D48" s="32"/>
      <c r="F48" s="52"/>
      <c r="G48" s="52"/>
      <c r="H48" s="52"/>
    </row>
    <row r="49" spans="1:8" ht="15" x14ac:dyDescent="0.25">
      <c r="A49" s="32"/>
      <c r="B49" s="32"/>
      <c r="C49" s="32"/>
      <c r="D49" s="32"/>
      <c r="F49" s="52"/>
      <c r="G49" s="52"/>
      <c r="H49" s="52"/>
    </row>
    <row r="50" spans="1:8" ht="15" x14ac:dyDescent="0.25">
      <c r="A50" s="32"/>
      <c r="B50" s="32"/>
      <c r="C50" s="32"/>
      <c r="D50" s="32"/>
      <c r="F50" s="52"/>
      <c r="G50" s="52"/>
      <c r="H50" s="52"/>
    </row>
    <row r="51" spans="1:8" ht="15" x14ac:dyDescent="0.25">
      <c r="A51" s="32"/>
      <c r="B51" s="32"/>
      <c r="C51" s="32"/>
      <c r="D51" s="32"/>
      <c r="F51" s="52"/>
      <c r="G51" s="52"/>
      <c r="H51" s="52"/>
    </row>
    <row r="52" spans="1:8" ht="15" x14ac:dyDescent="0.25">
      <c r="A52" s="32"/>
      <c r="B52" s="32"/>
      <c r="C52" s="32"/>
      <c r="D52" s="32"/>
      <c r="F52" s="52"/>
      <c r="G52" s="52"/>
      <c r="H52" s="52"/>
    </row>
    <row r="53" spans="1:8" ht="15" x14ac:dyDescent="0.25">
      <c r="A53" s="32"/>
      <c r="B53" s="32"/>
      <c r="C53" s="32"/>
      <c r="D53" s="32"/>
      <c r="F53" s="52"/>
      <c r="G53" s="52"/>
      <c r="H53" s="52"/>
    </row>
    <row r="54" spans="1:8" ht="15" x14ac:dyDescent="0.25">
      <c r="A54" s="32"/>
      <c r="B54" s="32"/>
      <c r="C54" s="32"/>
      <c r="D54" s="32"/>
      <c r="F54" s="52"/>
      <c r="G54" s="52"/>
      <c r="H54" s="52"/>
    </row>
    <row r="55" spans="1:8" ht="15" x14ac:dyDescent="0.25">
      <c r="A55" s="32"/>
      <c r="B55" s="32"/>
      <c r="C55" s="32"/>
      <c r="D55" s="32"/>
      <c r="F55" s="52"/>
      <c r="G55" s="52"/>
      <c r="H55" s="52"/>
    </row>
    <row r="56" spans="1:8" ht="15" x14ac:dyDescent="0.25">
      <c r="A56" s="32"/>
      <c r="B56" s="32"/>
      <c r="C56" s="32"/>
      <c r="D56" s="32"/>
      <c r="F56" s="52"/>
      <c r="G56" s="52"/>
      <c r="H56" s="52"/>
    </row>
    <row r="57" spans="1:8" ht="15" x14ac:dyDescent="0.25">
      <c r="A57" s="32"/>
      <c r="B57" s="32"/>
      <c r="C57" s="32"/>
      <c r="D57" s="32"/>
      <c r="F57" s="52"/>
      <c r="G57" s="52"/>
      <c r="H57" s="52"/>
    </row>
    <row r="58" spans="1:8" ht="15" x14ac:dyDescent="0.25">
      <c r="A58" s="32"/>
      <c r="B58" s="32"/>
      <c r="C58" s="32"/>
      <c r="D58" s="32"/>
      <c r="F58" s="52"/>
      <c r="G58" s="52"/>
      <c r="H58" s="52"/>
    </row>
    <row r="59" spans="1:8" ht="15" x14ac:dyDescent="0.25">
      <c r="A59" s="32"/>
      <c r="B59" s="32"/>
      <c r="C59" s="32"/>
      <c r="D59" s="32"/>
      <c r="F59" s="52"/>
      <c r="G59" s="52"/>
      <c r="H59" s="52"/>
    </row>
    <row r="60" spans="1:8" ht="15" x14ac:dyDescent="0.25">
      <c r="A60" s="32"/>
      <c r="B60" s="32"/>
      <c r="C60" s="32"/>
      <c r="D60" s="32"/>
      <c r="F60" s="52"/>
      <c r="G60" s="52"/>
      <c r="H60" s="52"/>
    </row>
    <row r="61" spans="1:8" ht="15" x14ac:dyDescent="0.25">
      <c r="A61" s="32"/>
      <c r="B61" s="32"/>
      <c r="C61" s="32"/>
      <c r="D61" s="32"/>
      <c r="F61" s="52"/>
      <c r="G61" s="52"/>
      <c r="H61" s="52"/>
    </row>
    <row r="62" spans="1:8" ht="15" x14ac:dyDescent="0.25">
      <c r="A62" s="32"/>
      <c r="B62" s="32"/>
      <c r="C62" s="32"/>
      <c r="D62" s="32"/>
      <c r="F62" s="52"/>
      <c r="G62" s="52"/>
      <c r="H62" s="52"/>
    </row>
    <row r="63" spans="1:8" ht="15" x14ac:dyDescent="0.25">
      <c r="A63" s="32"/>
      <c r="B63" s="32"/>
      <c r="C63" s="32"/>
      <c r="D63" s="32"/>
      <c r="F63" s="52"/>
      <c r="G63" s="52"/>
      <c r="H63" s="52"/>
    </row>
    <row r="64" spans="1:8" ht="15" x14ac:dyDescent="0.25">
      <c r="A64" s="32"/>
      <c r="B64" s="32"/>
      <c r="C64" s="32"/>
      <c r="D64" s="32"/>
      <c r="F64" s="52"/>
      <c r="G64" s="52"/>
      <c r="H64" s="52"/>
    </row>
    <row r="65" spans="1:8" ht="15" x14ac:dyDescent="0.25">
      <c r="A65" s="32"/>
      <c r="B65" s="32"/>
      <c r="C65" s="32"/>
      <c r="D65" s="32"/>
      <c r="F65" s="52"/>
      <c r="G65" s="52"/>
      <c r="H65" s="52"/>
    </row>
    <row r="66" spans="1:8" ht="15" x14ac:dyDescent="0.25">
      <c r="A66" s="32"/>
      <c r="B66" s="32"/>
      <c r="C66" s="32"/>
      <c r="D66" s="32"/>
      <c r="F66" s="52"/>
      <c r="G66" s="52"/>
      <c r="H66" s="52"/>
    </row>
    <row r="67" spans="1:8" ht="15" x14ac:dyDescent="0.25">
      <c r="A67" s="32"/>
      <c r="B67" s="32"/>
      <c r="C67" s="32"/>
      <c r="D67" s="32"/>
      <c r="F67" s="52"/>
      <c r="G67" s="52"/>
      <c r="H67" s="52"/>
    </row>
    <row r="68" spans="1:8" ht="15" x14ac:dyDescent="0.25">
      <c r="A68" s="32"/>
      <c r="B68" s="32"/>
      <c r="C68" s="32"/>
      <c r="D68" s="32"/>
      <c r="F68" s="52"/>
      <c r="G68" s="52"/>
      <c r="H68" s="52"/>
    </row>
    <row r="69" spans="1:8" ht="15" x14ac:dyDescent="0.25">
      <c r="A69" s="32"/>
      <c r="B69" s="32"/>
      <c r="C69" s="32"/>
      <c r="D69" s="32"/>
      <c r="F69" s="52"/>
      <c r="G69" s="52"/>
      <c r="H69" s="52"/>
    </row>
    <row r="70" spans="1:8" ht="15" x14ac:dyDescent="0.25">
      <c r="A70" s="32"/>
      <c r="B70" s="32"/>
      <c r="C70" s="32"/>
      <c r="D70" s="32"/>
      <c r="F70" s="52"/>
      <c r="G70" s="52"/>
      <c r="H70" s="52"/>
    </row>
    <row r="71" spans="1:8" ht="15" x14ac:dyDescent="0.25">
      <c r="A71" s="32"/>
      <c r="B71" s="32"/>
      <c r="C71" s="32"/>
      <c r="D71" s="32"/>
      <c r="F71" s="52"/>
      <c r="G71" s="52"/>
      <c r="H71" s="52"/>
    </row>
    <row r="72" spans="1:8" ht="15" x14ac:dyDescent="0.25">
      <c r="A72" s="32"/>
      <c r="B72" s="32"/>
      <c r="C72" s="32"/>
      <c r="D72" s="32"/>
      <c r="F72" s="52"/>
      <c r="G72" s="52"/>
      <c r="H72" s="52"/>
    </row>
    <row r="73" spans="1:8" ht="15" x14ac:dyDescent="0.25">
      <c r="A73" s="32"/>
      <c r="B73" s="32"/>
      <c r="C73" s="32"/>
      <c r="D73" s="32"/>
      <c r="F73" s="52"/>
      <c r="G73" s="52"/>
      <c r="H73" s="52"/>
    </row>
    <row r="74" spans="1:8" ht="15" x14ac:dyDescent="0.25">
      <c r="A74" s="32"/>
      <c r="B74" s="32"/>
      <c r="C74" s="32"/>
      <c r="D74" s="32"/>
      <c r="F74" s="52"/>
      <c r="G74" s="52"/>
      <c r="H74" s="52"/>
    </row>
    <row r="75" spans="1:8" ht="15" x14ac:dyDescent="0.25">
      <c r="A75" s="32"/>
      <c r="B75" s="32"/>
      <c r="C75" s="32"/>
      <c r="D75" s="32"/>
      <c r="F75" s="52"/>
      <c r="G75" s="52"/>
      <c r="H75" s="52"/>
    </row>
    <row r="76" spans="1:8" ht="15" x14ac:dyDescent="0.25">
      <c r="A76" s="32"/>
      <c r="B76" s="32"/>
      <c r="C76" s="32"/>
      <c r="D76" s="32"/>
      <c r="F76" s="52"/>
      <c r="G76" s="52"/>
      <c r="H76" s="52"/>
    </row>
    <row r="77" spans="1:8" ht="15" x14ac:dyDescent="0.25">
      <c r="A77" s="32"/>
      <c r="B77" s="32"/>
      <c r="C77" s="32"/>
      <c r="D77" s="32"/>
      <c r="F77" s="52"/>
      <c r="G77" s="52"/>
      <c r="H77" s="52"/>
    </row>
    <row r="78" spans="1:8" ht="15" x14ac:dyDescent="0.25">
      <c r="A78" s="32"/>
      <c r="B78" s="32"/>
      <c r="C78" s="32"/>
      <c r="D78" s="32"/>
      <c r="F78" s="52"/>
      <c r="G78" s="52"/>
      <c r="H78" s="52"/>
    </row>
    <row r="79" spans="1:8" ht="15" x14ac:dyDescent="0.25">
      <c r="A79" s="32"/>
      <c r="B79" s="32"/>
      <c r="C79" s="32"/>
      <c r="D79" s="32"/>
      <c r="F79" s="52"/>
      <c r="G79" s="52"/>
      <c r="H79" s="52"/>
    </row>
    <row r="80" spans="1:8" ht="15" x14ac:dyDescent="0.25">
      <c r="A80" s="32"/>
      <c r="B80" s="32"/>
      <c r="C80" s="32"/>
      <c r="D80" s="32"/>
      <c r="F80" s="52"/>
      <c r="G80" s="52"/>
      <c r="H80" s="52"/>
    </row>
    <row r="81" spans="1:8" ht="15" x14ac:dyDescent="0.25">
      <c r="A81" s="32"/>
      <c r="B81" s="32"/>
      <c r="C81" s="32"/>
      <c r="D81" s="32"/>
      <c r="F81" s="52"/>
      <c r="G81" s="52"/>
      <c r="H81" s="52"/>
    </row>
    <row r="82" spans="1:8" ht="15" x14ac:dyDescent="0.25">
      <c r="A82" s="32"/>
      <c r="B82" s="32"/>
      <c r="C82" s="32"/>
      <c r="D82" s="32"/>
      <c r="F82" s="52"/>
      <c r="G82" s="52"/>
      <c r="H82" s="52"/>
    </row>
    <row r="83" spans="1:8" ht="15" x14ac:dyDescent="0.25">
      <c r="A83" s="32"/>
      <c r="B83" s="32"/>
      <c r="C83" s="32"/>
      <c r="D83" s="32"/>
      <c r="F83" s="52"/>
      <c r="G83" s="52"/>
      <c r="H83" s="52"/>
    </row>
    <row r="84" spans="1:8" ht="15" x14ac:dyDescent="0.25">
      <c r="A84" s="32"/>
      <c r="B84" s="32"/>
      <c r="C84" s="32"/>
      <c r="D84" s="32"/>
      <c r="F84" s="52"/>
      <c r="G84" s="52"/>
      <c r="H84" s="52"/>
    </row>
    <row r="85" spans="1:8" ht="15" x14ac:dyDescent="0.25">
      <c r="A85" s="32"/>
      <c r="B85" s="32"/>
      <c r="C85" s="32"/>
      <c r="D85" s="32"/>
      <c r="F85" s="52"/>
      <c r="G85" s="52"/>
      <c r="H85" s="52"/>
    </row>
    <row r="86" spans="1:8" ht="15" x14ac:dyDescent="0.25">
      <c r="A86" s="32"/>
      <c r="B86" s="32"/>
      <c r="C86" s="32"/>
      <c r="D86" s="32"/>
      <c r="F86" s="52"/>
      <c r="G86" s="52"/>
      <c r="H86" s="52"/>
    </row>
    <row r="87" spans="1:8" ht="15" x14ac:dyDescent="0.25">
      <c r="A87" s="32"/>
      <c r="B87" s="32"/>
      <c r="C87" s="32"/>
      <c r="D87" s="32"/>
      <c r="F87" s="52"/>
      <c r="G87" s="52"/>
      <c r="H87" s="52"/>
    </row>
    <row r="88" spans="1:8" ht="15" x14ac:dyDescent="0.25">
      <c r="A88" s="32"/>
      <c r="B88" s="32"/>
      <c r="C88" s="32"/>
      <c r="D88" s="32"/>
      <c r="F88" s="52"/>
      <c r="G88" s="52"/>
      <c r="H88" s="52"/>
    </row>
    <row r="89" spans="1:8" ht="15" x14ac:dyDescent="0.25">
      <c r="A89" s="32"/>
      <c r="B89" s="32"/>
      <c r="C89" s="32"/>
      <c r="D89" s="32"/>
      <c r="F89" s="52"/>
      <c r="G89" s="52"/>
      <c r="H89" s="52"/>
    </row>
    <row r="90" spans="1:8" ht="15" x14ac:dyDescent="0.25">
      <c r="A90" s="32"/>
      <c r="B90" s="32"/>
      <c r="C90" s="32"/>
      <c r="D90" s="32"/>
      <c r="F90" s="52"/>
      <c r="G90" s="52"/>
      <c r="H90" s="52"/>
    </row>
    <row r="91" spans="1:8" ht="15" x14ac:dyDescent="0.25">
      <c r="A91" s="32"/>
      <c r="B91" s="32"/>
      <c r="C91" s="32"/>
      <c r="D91" s="32"/>
      <c r="F91" s="52"/>
      <c r="G91" s="52"/>
      <c r="H91" s="52"/>
    </row>
    <row r="92" spans="1:8" ht="15" x14ac:dyDescent="0.25">
      <c r="A92" s="32"/>
      <c r="B92" s="32"/>
      <c r="C92" s="32"/>
      <c r="D92" s="32"/>
      <c r="F92" s="52"/>
      <c r="G92" s="52"/>
      <c r="H92" s="52"/>
    </row>
    <row r="93" spans="1:8" ht="15" x14ac:dyDescent="0.25">
      <c r="A93" s="32"/>
      <c r="B93" s="32"/>
      <c r="C93" s="32"/>
      <c r="D93" s="32"/>
      <c r="F93" s="52"/>
      <c r="G93" s="52"/>
      <c r="H93" s="52"/>
    </row>
    <row r="94" spans="1:8" ht="15" x14ac:dyDescent="0.25">
      <c r="A94" s="32"/>
      <c r="B94" s="32"/>
      <c r="C94" s="32"/>
      <c r="D94" s="32"/>
      <c r="F94" s="52"/>
      <c r="G94" s="52"/>
      <c r="H94" s="52"/>
    </row>
    <row r="95" spans="1:8" ht="15" x14ac:dyDescent="0.25">
      <c r="A95" s="32"/>
      <c r="B95" s="32"/>
      <c r="C95" s="32"/>
      <c r="D95" s="32"/>
      <c r="F95" s="52"/>
      <c r="G95" s="52"/>
      <c r="H95" s="52"/>
    </row>
    <row r="96" spans="1:8" ht="15" x14ac:dyDescent="0.25">
      <c r="A96" s="32"/>
      <c r="B96" s="32"/>
      <c r="C96" s="32"/>
      <c r="D96" s="32"/>
      <c r="F96" s="52"/>
      <c r="G96" s="52"/>
      <c r="H96" s="52"/>
    </row>
    <row r="97" spans="1:8" ht="15" x14ac:dyDescent="0.25">
      <c r="A97" s="32"/>
      <c r="B97" s="32"/>
      <c r="C97" s="32"/>
      <c r="D97" s="32"/>
      <c r="F97" s="52"/>
      <c r="G97" s="52"/>
      <c r="H97" s="52"/>
    </row>
    <row r="98" spans="1:8" ht="15" x14ac:dyDescent="0.25">
      <c r="A98" s="32"/>
      <c r="B98" s="32"/>
      <c r="C98" s="32"/>
      <c r="D98" s="32"/>
      <c r="F98" s="52"/>
      <c r="G98" s="52"/>
      <c r="H98" s="52"/>
    </row>
    <row r="99" spans="1:8" ht="15" x14ac:dyDescent="0.25">
      <c r="A99" s="32"/>
      <c r="B99" s="32"/>
      <c r="C99" s="32"/>
      <c r="D99" s="32"/>
      <c r="F99" s="52"/>
      <c r="G99" s="52"/>
      <c r="H99" s="52"/>
    </row>
    <row r="100" spans="1:8" ht="15" x14ac:dyDescent="0.25">
      <c r="A100" s="32"/>
      <c r="B100" s="32"/>
      <c r="C100" s="32"/>
      <c r="D100" s="32"/>
      <c r="F100" s="52"/>
      <c r="G100" s="52"/>
      <c r="H100" s="52"/>
    </row>
    <row r="101" spans="1:8" ht="15" x14ac:dyDescent="0.25">
      <c r="A101" s="32"/>
      <c r="B101" s="32"/>
      <c r="C101" s="32"/>
      <c r="D101" s="32"/>
      <c r="F101" s="52"/>
      <c r="G101" s="52"/>
      <c r="H101" s="52"/>
    </row>
    <row r="102" spans="1:8" ht="15" x14ac:dyDescent="0.25">
      <c r="A102" s="32"/>
      <c r="B102" s="32"/>
      <c r="C102" s="32"/>
      <c r="D102" s="32"/>
      <c r="F102" s="52"/>
      <c r="G102" s="52"/>
      <c r="H102" s="52"/>
    </row>
    <row r="103" spans="1:8" ht="15" x14ac:dyDescent="0.25">
      <c r="A103" s="32"/>
      <c r="B103" s="32"/>
      <c r="C103" s="32"/>
      <c r="D103" s="32"/>
      <c r="F103" s="52"/>
      <c r="G103" s="52"/>
      <c r="H103" s="52"/>
    </row>
    <row r="104" spans="1:8" ht="15" x14ac:dyDescent="0.25">
      <c r="A104" s="32"/>
      <c r="B104" s="32"/>
      <c r="C104" s="32"/>
      <c r="D104" s="32"/>
      <c r="F104" s="52"/>
      <c r="G104" s="52"/>
      <c r="H104" s="52"/>
    </row>
    <row r="105" spans="1:8" ht="15" x14ac:dyDescent="0.25">
      <c r="A105" s="32"/>
      <c r="B105" s="32"/>
      <c r="C105" s="32"/>
      <c r="D105" s="32"/>
      <c r="F105" s="52"/>
      <c r="G105" s="52"/>
      <c r="H105" s="52"/>
    </row>
    <row r="106" spans="1:8" ht="15" x14ac:dyDescent="0.25">
      <c r="A106" s="32"/>
      <c r="B106" s="32"/>
      <c r="C106" s="32"/>
      <c r="D106" s="32"/>
      <c r="F106" s="52"/>
      <c r="G106" s="52"/>
      <c r="H106" s="52"/>
    </row>
    <row r="107" spans="1:8" ht="15" x14ac:dyDescent="0.25">
      <c r="A107" s="32"/>
      <c r="B107" s="32"/>
      <c r="C107" s="32"/>
      <c r="D107" s="32"/>
      <c r="F107" s="52"/>
      <c r="G107" s="52"/>
      <c r="H107" s="52"/>
    </row>
    <row r="108" spans="1:8" ht="15" x14ac:dyDescent="0.25">
      <c r="A108" s="32"/>
      <c r="B108" s="32"/>
      <c r="C108" s="32"/>
      <c r="D108" s="32"/>
      <c r="F108" s="52"/>
      <c r="G108" s="52"/>
      <c r="H108" s="52"/>
    </row>
    <row r="109" spans="1:8" ht="15" x14ac:dyDescent="0.25">
      <c r="A109" s="32"/>
      <c r="B109" s="32"/>
      <c r="C109" s="32"/>
      <c r="D109" s="32"/>
      <c r="F109" s="52"/>
      <c r="G109" s="52"/>
      <c r="H109" s="52"/>
    </row>
    <row r="110" spans="1:8" ht="15" x14ac:dyDescent="0.25">
      <c r="A110" s="32"/>
      <c r="B110" s="32"/>
      <c r="C110" s="32"/>
      <c r="D110" s="32"/>
      <c r="F110" s="52"/>
      <c r="G110" s="52"/>
      <c r="H110" s="52"/>
    </row>
    <row r="111" spans="1:8" ht="15" x14ac:dyDescent="0.25">
      <c r="A111" s="32"/>
      <c r="B111" s="32"/>
      <c r="C111" s="32"/>
      <c r="D111" s="32"/>
      <c r="F111" s="52"/>
      <c r="G111" s="52"/>
      <c r="H111" s="52"/>
    </row>
    <row r="112" spans="1:8" ht="15" x14ac:dyDescent="0.25">
      <c r="A112" s="32"/>
      <c r="B112" s="32"/>
      <c r="C112" s="32"/>
      <c r="D112" s="32"/>
      <c r="F112" s="52"/>
      <c r="G112" s="52"/>
      <c r="H112" s="52"/>
    </row>
    <row r="113" spans="1:8" ht="15" x14ac:dyDescent="0.25">
      <c r="A113" s="32"/>
      <c r="B113" s="32"/>
      <c r="C113" s="32"/>
      <c r="D113" s="32"/>
      <c r="F113" s="52"/>
      <c r="G113" s="52"/>
      <c r="H113" s="52"/>
    </row>
    <row r="114" spans="1:8" ht="15" x14ac:dyDescent="0.25">
      <c r="A114" s="32"/>
      <c r="B114" s="32"/>
      <c r="C114" s="32"/>
      <c r="D114" s="32"/>
      <c r="F114" s="52"/>
      <c r="G114" s="52"/>
      <c r="H114" s="52"/>
    </row>
    <row r="115" spans="1:8" ht="15" x14ac:dyDescent="0.25">
      <c r="A115" s="32"/>
      <c r="B115" s="32"/>
      <c r="C115" s="32"/>
      <c r="D115" s="32"/>
      <c r="F115" s="52"/>
      <c r="G115" s="52"/>
      <c r="H115" s="52"/>
    </row>
    <row r="116" spans="1:8" ht="15" x14ac:dyDescent="0.25">
      <c r="A116" s="32"/>
      <c r="B116" s="32"/>
      <c r="C116" s="32"/>
      <c r="D116" s="32"/>
      <c r="F116" s="52"/>
      <c r="G116" s="52"/>
      <c r="H116" s="52"/>
    </row>
    <row r="117" spans="1:8" ht="15" x14ac:dyDescent="0.25">
      <c r="A117" s="32"/>
      <c r="B117" s="32"/>
      <c r="C117" s="32"/>
      <c r="D117" s="32"/>
      <c r="F117" s="52"/>
      <c r="G117" s="52"/>
      <c r="H117" s="52"/>
    </row>
    <row r="118" spans="1:8" ht="15" x14ac:dyDescent="0.25">
      <c r="A118" s="32"/>
      <c r="B118" s="32"/>
      <c r="C118" s="32"/>
      <c r="D118" s="32"/>
      <c r="F118" s="52"/>
      <c r="G118" s="52"/>
      <c r="H118" s="52"/>
    </row>
    <row r="119" spans="1:8" ht="15" x14ac:dyDescent="0.25">
      <c r="A119" s="32"/>
      <c r="B119" s="32"/>
      <c r="C119" s="32"/>
      <c r="D119" s="32"/>
      <c r="F119" s="52"/>
      <c r="G119" s="52"/>
      <c r="H119" s="52"/>
    </row>
    <row r="120" spans="1:8" ht="15" x14ac:dyDescent="0.25">
      <c r="A120" s="32"/>
      <c r="B120" s="32"/>
      <c r="C120" s="32"/>
      <c r="D120" s="32"/>
      <c r="F120" s="52"/>
      <c r="G120" s="52"/>
      <c r="H120" s="52"/>
    </row>
    <row r="121" spans="1:8" ht="15" x14ac:dyDescent="0.25">
      <c r="A121" s="32"/>
      <c r="B121" s="32"/>
      <c r="C121" s="32"/>
      <c r="D121" s="32"/>
      <c r="F121" s="52"/>
      <c r="G121" s="52"/>
      <c r="H121" s="52"/>
    </row>
    <row r="122" spans="1:8" ht="15" x14ac:dyDescent="0.25">
      <c r="A122" s="32"/>
      <c r="B122" s="32"/>
      <c r="C122" s="32"/>
      <c r="D122" s="32"/>
      <c r="F122" s="52"/>
      <c r="G122" s="52"/>
      <c r="H122" s="52"/>
    </row>
    <row r="123" spans="1:8" ht="15" x14ac:dyDescent="0.25">
      <c r="A123" s="32"/>
      <c r="B123" s="32"/>
      <c r="C123" s="32"/>
      <c r="D123" s="32"/>
      <c r="F123" s="52"/>
      <c r="G123" s="52"/>
      <c r="H123" s="52"/>
    </row>
    <row r="124" spans="1:8" ht="15" x14ac:dyDescent="0.25">
      <c r="A124" s="32"/>
      <c r="B124" s="32"/>
      <c r="C124" s="32"/>
      <c r="D124" s="32"/>
      <c r="F124" s="52"/>
      <c r="G124" s="52"/>
      <c r="H124" s="52"/>
    </row>
    <row r="125" spans="1:8" ht="15" x14ac:dyDescent="0.25">
      <c r="A125" s="32"/>
      <c r="B125" s="32"/>
      <c r="C125" s="32"/>
      <c r="D125" s="32"/>
      <c r="F125" s="52"/>
      <c r="G125" s="52"/>
      <c r="H125" s="52"/>
    </row>
    <row r="126" spans="1:8" ht="15" x14ac:dyDescent="0.25">
      <c r="A126" s="32"/>
      <c r="B126" s="32"/>
      <c r="C126" s="32"/>
      <c r="D126" s="32"/>
      <c r="F126" s="52"/>
      <c r="G126" s="52"/>
      <c r="H126" s="52"/>
    </row>
    <row r="127" spans="1:8" ht="15" x14ac:dyDescent="0.25">
      <c r="A127" s="32"/>
      <c r="B127" s="32"/>
      <c r="C127" s="32"/>
      <c r="D127" s="32"/>
      <c r="F127" s="52"/>
      <c r="G127" s="52"/>
      <c r="H127" s="52"/>
    </row>
    <row r="128" spans="1:8" ht="15" x14ac:dyDescent="0.25">
      <c r="A128" s="32"/>
      <c r="B128" s="32"/>
      <c r="C128" s="32"/>
      <c r="D128" s="32"/>
      <c r="F128" s="52"/>
      <c r="G128" s="52"/>
      <c r="H128" s="52"/>
    </row>
    <row r="129" spans="1:9" ht="15" x14ac:dyDescent="0.25">
      <c r="A129" s="32"/>
      <c r="B129" s="32"/>
      <c r="C129" s="32"/>
      <c r="D129" s="32"/>
      <c r="F129" s="52"/>
      <c r="G129" s="52"/>
      <c r="H129" s="52"/>
    </row>
    <row r="130" spans="1:9" ht="15" x14ac:dyDescent="0.25">
      <c r="A130" s="32"/>
      <c r="B130" s="32"/>
      <c r="C130" s="32"/>
      <c r="D130" s="32"/>
      <c r="F130" s="52"/>
      <c r="G130" s="52"/>
      <c r="H130" s="52"/>
    </row>
    <row r="131" spans="1:9" ht="15" x14ac:dyDescent="0.25">
      <c r="A131" s="32"/>
      <c r="B131" s="32"/>
      <c r="C131" s="32"/>
      <c r="D131" s="32"/>
    </row>
    <row r="132" spans="1:9" ht="15" x14ac:dyDescent="0.25">
      <c r="A132" s="32"/>
      <c r="B132" s="32"/>
      <c r="C132" s="32"/>
      <c r="D132" s="32"/>
    </row>
    <row r="133" spans="1:9" ht="15" x14ac:dyDescent="0.25">
      <c r="A133" s="32"/>
      <c r="B133" s="32"/>
      <c r="C133" s="32"/>
      <c r="D133" s="32"/>
    </row>
    <row r="134" spans="1:9" ht="12.75" x14ac:dyDescent="0.2">
      <c r="A134" s="32"/>
      <c r="B134" s="32"/>
      <c r="C134" s="32"/>
      <c r="D134" s="32"/>
      <c r="I134" s="32"/>
    </row>
    <row r="135" spans="1:9" ht="12.75" x14ac:dyDescent="0.2">
      <c r="A135" s="32"/>
      <c r="B135" s="32"/>
      <c r="C135" s="32"/>
      <c r="D135" s="32"/>
      <c r="I135" s="32"/>
    </row>
    <row r="136" spans="1:9" ht="12.75" x14ac:dyDescent="0.2">
      <c r="A136" s="32"/>
      <c r="B136" s="32"/>
      <c r="C136" s="32"/>
      <c r="D136" s="32"/>
      <c r="I136" s="32"/>
    </row>
    <row r="137" spans="1:9" ht="12.75" x14ac:dyDescent="0.2">
      <c r="A137" s="32"/>
      <c r="B137" s="32"/>
      <c r="C137" s="32"/>
      <c r="D137" s="32"/>
      <c r="I137" s="32"/>
    </row>
    <row r="138" spans="1:9" ht="12.75" x14ac:dyDescent="0.2">
      <c r="A138" s="32"/>
      <c r="B138" s="32"/>
      <c r="C138" s="32"/>
      <c r="D138" s="32"/>
      <c r="I138" s="32"/>
    </row>
    <row r="139" spans="1:9" ht="12.75" x14ac:dyDescent="0.2">
      <c r="A139" s="32"/>
      <c r="B139" s="32"/>
      <c r="C139" s="32"/>
      <c r="D139" s="32"/>
      <c r="I139" s="32"/>
    </row>
    <row r="140" spans="1:9" ht="12.75" x14ac:dyDescent="0.2">
      <c r="A140" s="32"/>
      <c r="B140" s="32"/>
      <c r="C140" s="32"/>
      <c r="D140" s="32"/>
      <c r="I140" s="32"/>
    </row>
    <row r="141" spans="1:9" ht="12.75" x14ac:dyDescent="0.2">
      <c r="A141" s="32"/>
      <c r="B141" s="32"/>
      <c r="C141" s="32"/>
      <c r="D141" s="32"/>
      <c r="I141" s="32"/>
    </row>
    <row r="142" spans="1:9" ht="12.75" x14ac:dyDescent="0.2">
      <c r="A142" s="32"/>
      <c r="B142" s="32"/>
      <c r="C142" s="32"/>
      <c r="D142" s="32"/>
      <c r="I142" s="32"/>
    </row>
    <row r="143" spans="1:9" ht="12.75" x14ac:dyDescent="0.2">
      <c r="A143" s="32"/>
      <c r="B143" s="32"/>
      <c r="C143" s="32"/>
      <c r="D143" s="32"/>
      <c r="I143" s="32"/>
    </row>
    <row r="144" spans="1:9" ht="12.75" x14ac:dyDescent="0.2">
      <c r="A144" s="32"/>
      <c r="B144" s="32"/>
      <c r="C144" s="32"/>
      <c r="D144" s="32"/>
      <c r="I144" s="32"/>
    </row>
    <row r="145" s="32" customFormat="1" ht="12.75" x14ac:dyDescent="0.2"/>
    <row r="146" s="32" customFormat="1" ht="12.75" x14ac:dyDescent="0.2"/>
    <row r="147" s="32" customFormat="1" ht="12.75" x14ac:dyDescent="0.2"/>
    <row r="148" s="32" customFormat="1" ht="12.75" x14ac:dyDescent="0.2"/>
    <row r="149" s="32" customFormat="1" ht="12.75" x14ac:dyDescent="0.2"/>
    <row r="150" s="32" customFormat="1" ht="12.75" x14ac:dyDescent="0.2"/>
    <row r="151" s="32" customFormat="1" ht="12.75" x14ac:dyDescent="0.2"/>
    <row r="152" s="32" customFormat="1" ht="12.75" x14ac:dyDescent="0.2"/>
    <row r="153" s="32" customFormat="1" ht="12.75" x14ac:dyDescent="0.2"/>
    <row r="154" s="32" customFormat="1" ht="12.75" x14ac:dyDescent="0.2"/>
    <row r="155" s="32" customFormat="1" ht="12.75" x14ac:dyDescent="0.2"/>
    <row r="156" s="32" customFormat="1" ht="12.75" x14ac:dyDescent="0.2"/>
    <row r="157" s="32" customFormat="1" ht="12.75" x14ac:dyDescent="0.2"/>
    <row r="158" s="32" customFormat="1" ht="12.75" x14ac:dyDescent="0.2"/>
    <row r="159" s="32" customFormat="1" ht="12.75" x14ac:dyDescent="0.2"/>
    <row r="160" s="32" customFormat="1" ht="12.75" x14ac:dyDescent="0.2"/>
    <row r="161" s="32" customFormat="1" ht="12.75" x14ac:dyDescent="0.2"/>
    <row r="162" s="32" customFormat="1" ht="12.75" x14ac:dyDescent="0.2"/>
    <row r="163" s="32" customFormat="1" ht="12.75" x14ac:dyDescent="0.2"/>
    <row r="164" s="32" customFormat="1" ht="12.75" x14ac:dyDescent="0.2"/>
    <row r="165" s="32" customFormat="1" ht="12.75" x14ac:dyDescent="0.2"/>
    <row r="166" s="32" customFormat="1" ht="12.75" x14ac:dyDescent="0.2"/>
    <row r="167" s="32" customFormat="1" ht="12.75" x14ac:dyDescent="0.2"/>
    <row r="168" s="32" customFormat="1" ht="12.75" x14ac:dyDescent="0.2"/>
    <row r="169" s="32" customFormat="1" ht="12.75" x14ac:dyDescent="0.2"/>
    <row r="170" s="32" customFormat="1" ht="12.75" x14ac:dyDescent="0.2"/>
    <row r="171" s="32" customFormat="1" ht="12.75" x14ac:dyDescent="0.2"/>
    <row r="172" s="32" customFormat="1" ht="12.75" x14ac:dyDescent="0.2"/>
    <row r="173" s="32" customFormat="1" ht="12.75" x14ac:dyDescent="0.2"/>
    <row r="174" s="32" customFormat="1" ht="12.75" x14ac:dyDescent="0.2"/>
    <row r="175" s="32" customFormat="1" ht="12.75" x14ac:dyDescent="0.2"/>
    <row r="176" s="32" customFormat="1" ht="12.75" x14ac:dyDescent="0.2"/>
    <row r="177" s="32" customFormat="1" ht="12.75" x14ac:dyDescent="0.2"/>
    <row r="178" s="32" customFormat="1" ht="12.75" x14ac:dyDescent="0.2"/>
    <row r="179" s="32" customFormat="1" ht="12.75" x14ac:dyDescent="0.2"/>
    <row r="180" s="32" customFormat="1" ht="12.75" x14ac:dyDescent="0.2"/>
    <row r="181" s="32" customFormat="1" ht="12.75" x14ac:dyDescent="0.2"/>
    <row r="182" s="32" customFormat="1" ht="12.75" x14ac:dyDescent="0.2"/>
    <row r="183" s="32" customFormat="1" ht="12.75" x14ac:dyDescent="0.2"/>
    <row r="184" s="32" customFormat="1" ht="12.75" x14ac:dyDescent="0.2"/>
    <row r="185" s="32" customFormat="1" ht="12.75" x14ac:dyDescent="0.2"/>
    <row r="186" s="32" customFormat="1" ht="12.75" x14ac:dyDescent="0.2"/>
    <row r="187" s="32" customFormat="1" ht="12.75" x14ac:dyDescent="0.2"/>
    <row r="188" s="32" customFormat="1" ht="12.75" x14ac:dyDescent="0.2"/>
    <row r="189" s="32" customFormat="1" ht="12.75" x14ac:dyDescent="0.2"/>
    <row r="190" s="32" customFormat="1" ht="12.75" x14ac:dyDescent="0.2"/>
    <row r="191" s="32" customFormat="1" ht="12.75" x14ac:dyDescent="0.2"/>
    <row r="192" s="32" customFormat="1" ht="12.75" x14ac:dyDescent="0.2"/>
    <row r="193" s="32" customFormat="1" ht="12.75" x14ac:dyDescent="0.2"/>
    <row r="194" s="32" customFormat="1" ht="12.75" x14ac:dyDescent="0.2"/>
    <row r="195" s="32" customFormat="1" ht="12.75" x14ac:dyDescent="0.2"/>
    <row r="196" s="32" customFormat="1" ht="12.75" x14ac:dyDescent="0.2"/>
    <row r="197" s="32" customFormat="1" ht="12.75" x14ac:dyDescent="0.2"/>
    <row r="198" s="32" customFormat="1" ht="12.75" x14ac:dyDescent="0.2"/>
    <row r="199" s="32" customFormat="1" ht="12.75" x14ac:dyDescent="0.2"/>
    <row r="200" s="32" customFormat="1" ht="12.75" x14ac:dyDescent="0.2"/>
    <row r="201" s="32" customFormat="1" ht="12.75" x14ac:dyDescent="0.2"/>
    <row r="202" s="32" customFormat="1" ht="12.75" x14ac:dyDescent="0.2"/>
    <row r="203" s="32" customFormat="1" ht="12.75" x14ac:dyDescent="0.2"/>
    <row r="204" s="32" customFormat="1" ht="12.75" x14ac:dyDescent="0.2"/>
    <row r="205" s="32" customFormat="1" ht="12.75" x14ac:dyDescent="0.2"/>
    <row r="206" s="32" customFormat="1" ht="12.75" x14ac:dyDescent="0.2"/>
    <row r="207" s="32" customFormat="1" ht="12.75" x14ac:dyDescent="0.2"/>
    <row r="208" s="32" customFormat="1" ht="12.75" x14ac:dyDescent="0.2"/>
    <row r="209" s="32" customFormat="1" ht="12.75" x14ac:dyDescent="0.2"/>
    <row r="210" s="32" customFormat="1" ht="12.75" x14ac:dyDescent="0.2"/>
    <row r="211" s="32" customFormat="1" ht="12.75" x14ac:dyDescent="0.2"/>
    <row r="212" s="32" customFormat="1" ht="12.75" x14ac:dyDescent="0.2"/>
    <row r="213" s="32" customFormat="1" ht="12.75" x14ac:dyDescent="0.2"/>
    <row r="214" s="32" customFormat="1" ht="12.75" x14ac:dyDescent="0.2"/>
    <row r="215" s="32" customFormat="1" ht="12.75" x14ac:dyDescent="0.2"/>
    <row r="216" s="32" customFormat="1" ht="12.75" x14ac:dyDescent="0.2"/>
    <row r="217" s="32" customFormat="1" ht="12.75" x14ac:dyDescent="0.2"/>
    <row r="218" s="32" customFormat="1" ht="12.75" x14ac:dyDescent="0.2"/>
    <row r="219" s="32" customFormat="1" ht="12.75" x14ac:dyDescent="0.2"/>
    <row r="220" s="32" customFormat="1" ht="12.75" x14ac:dyDescent="0.2"/>
    <row r="221" s="32" customFormat="1" ht="12.75" x14ac:dyDescent="0.2"/>
    <row r="222" s="32" customFormat="1" ht="12.75" x14ac:dyDescent="0.2"/>
    <row r="223" s="32" customFormat="1" ht="12.75" x14ac:dyDescent="0.2"/>
    <row r="224" s="32" customFormat="1" ht="12.75" x14ac:dyDescent="0.2"/>
    <row r="225" s="32" customFormat="1" ht="12.75" x14ac:dyDescent="0.2"/>
    <row r="226" s="32" customFormat="1" ht="12.75" x14ac:dyDescent="0.2"/>
    <row r="227" s="32" customFormat="1" ht="12.75" x14ac:dyDescent="0.2"/>
    <row r="228" s="32" customFormat="1" ht="12.75" x14ac:dyDescent="0.2"/>
    <row r="229" s="32" customFormat="1" ht="12.75" x14ac:dyDescent="0.2"/>
    <row r="230" s="32" customFormat="1" ht="12.75" x14ac:dyDescent="0.2"/>
    <row r="231" s="32" customFormat="1" ht="12.75" x14ac:dyDescent="0.2"/>
    <row r="232" s="32" customFormat="1" ht="12.75" x14ac:dyDescent="0.2"/>
    <row r="233" s="32" customFormat="1" ht="12.75" x14ac:dyDescent="0.2"/>
    <row r="234" s="32" customFormat="1" ht="12.75" x14ac:dyDescent="0.2"/>
    <row r="235" s="32" customFormat="1" ht="12.75" x14ac:dyDescent="0.2"/>
    <row r="236" s="32" customFormat="1" ht="12.75" x14ac:dyDescent="0.2"/>
    <row r="237" s="32" customFormat="1" ht="12.75" x14ac:dyDescent="0.2"/>
    <row r="238" s="32" customFormat="1" ht="12.75" x14ac:dyDescent="0.2"/>
    <row r="239" s="32" customFormat="1" ht="12.75" x14ac:dyDescent="0.2"/>
    <row r="240" s="32" customFormat="1" ht="12.75" x14ac:dyDescent="0.2"/>
    <row r="241" s="32" customFormat="1" ht="12.75" x14ac:dyDescent="0.2"/>
    <row r="242" s="32" customFormat="1" ht="12.75" x14ac:dyDescent="0.2"/>
    <row r="243" s="32" customFormat="1" ht="12.75" x14ac:dyDescent="0.2"/>
    <row r="244" s="32" customFormat="1" ht="12.75" x14ac:dyDescent="0.2"/>
    <row r="245" s="32" customFormat="1" ht="12.75" x14ac:dyDescent="0.2"/>
    <row r="246" s="32" customFormat="1" ht="12.75" x14ac:dyDescent="0.2"/>
    <row r="247" s="32" customFormat="1" ht="12.75" x14ac:dyDescent="0.2"/>
    <row r="248" s="32" customFormat="1" ht="12.75" x14ac:dyDescent="0.2"/>
    <row r="249" s="32" customFormat="1" ht="12.75" x14ac:dyDescent="0.2"/>
    <row r="250" s="32" customFormat="1" ht="12.75" x14ac:dyDescent="0.2"/>
    <row r="251" s="32" customFormat="1" ht="12.75" x14ac:dyDescent="0.2"/>
    <row r="252" s="32" customFormat="1" ht="12.75" x14ac:dyDescent="0.2"/>
    <row r="253" s="32" customFormat="1" ht="12.75" x14ac:dyDescent="0.2"/>
    <row r="254" s="32" customFormat="1" ht="12.75" x14ac:dyDescent="0.2"/>
    <row r="255" s="32" customFormat="1" ht="12.75" x14ac:dyDescent="0.2"/>
    <row r="256" s="32" customFormat="1" ht="12.75" x14ac:dyDescent="0.2"/>
    <row r="257" s="32" customFormat="1" ht="12.75" x14ac:dyDescent="0.2"/>
    <row r="258" s="32" customFormat="1" ht="12.75" x14ac:dyDescent="0.2"/>
    <row r="259" s="32" customFormat="1" ht="12.75" x14ac:dyDescent="0.2"/>
    <row r="260" s="32" customFormat="1" ht="12.75" x14ac:dyDescent="0.2"/>
    <row r="261" s="32" customFormat="1" ht="12.75" x14ac:dyDescent="0.2"/>
    <row r="262" s="32" customFormat="1" ht="12.75" x14ac:dyDescent="0.2"/>
    <row r="263" s="32" customFormat="1" ht="12.75" x14ac:dyDescent="0.2"/>
    <row r="264" s="32" customFormat="1" ht="12.75" x14ac:dyDescent="0.2"/>
    <row r="265" s="32" customFormat="1" ht="12.75" x14ac:dyDescent="0.2"/>
    <row r="266" s="32" customFormat="1" ht="12.75" x14ac:dyDescent="0.2"/>
    <row r="267" s="32" customFormat="1" ht="12.75" x14ac:dyDescent="0.2"/>
    <row r="268" s="32" customFormat="1" ht="12.75" x14ac:dyDescent="0.2"/>
    <row r="269" s="32" customFormat="1" ht="12.75" x14ac:dyDescent="0.2"/>
    <row r="270" s="32" customFormat="1" ht="12.75" x14ac:dyDescent="0.2"/>
    <row r="271" s="32" customFormat="1" ht="12.75" x14ac:dyDescent="0.2"/>
    <row r="272" s="32" customFormat="1" ht="12.75" x14ac:dyDescent="0.2"/>
    <row r="273" s="32" customFormat="1" ht="12.75" x14ac:dyDescent="0.2"/>
    <row r="274" s="32" customFormat="1" ht="12.75" x14ac:dyDescent="0.2"/>
    <row r="275" s="32" customFormat="1" ht="12.75" x14ac:dyDescent="0.2"/>
    <row r="276" s="32" customFormat="1" ht="12.75" x14ac:dyDescent="0.2"/>
    <row r="277" s="32" customFormat="1" ht="12.75" x14ac:dyDescent="0.2"/>
    <row r="278" s="32" customFormat="1" ht="12.75" x14ac:dyDescent="0.2"/>
    <row r="279" s="32" customFormat="1" ht="12.75" x14ac:dyDescent="0.2"/>
    <row r="280" s="32" customFormat="1" ht="12.75" x14ac:dyDescent="0.2"/>
    <row r="281" s="32" customFormat="1" ht="12.75" x14ac:dyDescent="0.2"/>
    <row r="282" s="32" customFormat="1" ht="12.75" x14ac:dyDescent="0.2"/>
    <row r="283" s="32" customFormat="1" ht="12.75" x14ac:dyDescent="0.2"/>
    <row r="284" s="32" customFormat="1" ht="12.75" x14ac:dyDescent="0.2"/>
    <row r="285" s="32" customFormat="1" ht="12.75" x14ac:dyDescent="0.2"/>
    <row r="286" s="32" customFormat="1" ht="12.75" x14ac:dyDescent="0.2"/>
    <row r="287" s="32" customFormat="1" ht="12.75" x14ac:dyDescent="0.2"/>
    <row r="288" s="32" customFormat="1" ht="12.75" x14ac:dyDescent="0.2"/>
    <row r="289" s="32" customFormat="1" ht="12.75" x14ac:dyDescent="0.2"/>
    <row r="290" s="32" customFormat="1" ht="12.75" x14ac:dyDescent="0.2"/>
    <row r="291" s="32" customFormat="1" ht="12.75" x14ac:dyDescent="0.2"/>
    <row r="292" s="32" customFormat="1" ht="12.75" x14ac:dyDescent="0.2"/>
    <row r="293" s="32" customFormat="1" ht="12.75" x14ac:dyDescent="0.2"/>
    <row r="294" s="32" customFormat="1" ht="12.75" x14ac:dyDescent="0.2"/>
    <row r="295" s="32" customFormat="1" ht="12.75" x14ac:dyDescent="0.2"/>
    <row r="296" s="32" customFormat="1" ht="12.75" x14ac:dyDescent="0.2"/>
    <row r="297" s="32" customFormat="1" ht="12.75" x14ac:dyDescent="0.2"/>
    <row r="298" s="32" customFormat="1" ht="12.75" x14ac:dyDescent="0.2"/>
    <row r="299" s="32" customFormat="1" ht="12.75" x14ac:dyDescent="0.2"/>
    <row r="300" s="32" customFormat="1" ht="12.75" x14ac:dyDescent="0.2"/>
    <row r="301" s="32" customFormat="1" ht="12.75" x14ac:dyDescent="0.2"/>
    <row r="302" s="32" customFormat="1" ht="12.75" x14ac:dyDescent="0.2"/>
    <row r="303" s="32" customFormat="1" ht="12.75" x14ac:dyDescent="0.2"/>
    <row r="304" s="32" customFormat="1" ht="12.75" x14ac:dyDescent="0.2"/>
    <row r="305" s="32" customFormat="1" ht="12.75" x14ac:dyDescent="0.2"/>
    <row r="306" s="32" customFormat="1" ht="12.75" x14ac:dyDescent="0.2"/>
    <row r="307" s="32" customFormat="1" ht="12.75" x14ac:dyDescent="0.2"/>
    <row r="308" s="32" customFormat="1" ht="12.75" x14ac:dyDescent="0.2"/>
    <row r="309" s="32" customFormat="1" ht="12.75" x14ac:dyDescent="0.2"/>
    <row r="310" s="32" customFormat="1" ht="12.75" x14ac:dyDescent="0.2"/>
    <row r="311" s="32" customFormat="1" ht="12.75" x14ac:dyDescent="0.2"/>
    <row r="312" s="32" customFormat="1" ht="12.75" x14ac:dyDescent="0.2"/>
    <row r="313" s="32" customFormat="1" ht="12.75" x14ac:dyDescent="0.2"/>
    <row r="314" s="32" customFormat="1" ht="12.75" x14ac:dyDescent="0.2"/>
    <row r="315" s="32" customFormat="1" ht="12.75" x14ac:dyDescent="0.2"/>
    <row r="316" s="32" customFormat="1" ht="12.75" x14ac:dyDescent="0.2"/>
    <row r="317" s="32" customFormat="1" ht="12.75" x14ac:dyDescent="0.2"/>
    <row r="318" s="32" customFormat="1" ht="12.75" x14ac:dyDescent="0.2"/>
    <row r="319" s="32" customFormat="1" ht="12.75" x14ac:dyDescent="0.2"/>
    <row r="320" s="32" customFormat="1" ht="12.75" x14ac:dyDescent="0.2"/>
    <row r="321" s="32" customFormat="1" ht="12.75" x14ac:dyDescent="0.2"/>
    <row r="322" s="32" customFormat="1" ht="12.75" x14ac:dyDescent="0.2"/>
    <row r="323" s="32" customFormat="1" ht="12.75" x14ac:dyDescent="0.2"/>
    <row r="324" s="32" customFormat="1" ht="12.75" x14ac:dyDescent="0.2"/>
    <row r="325" s="32" customFormat="1" ht="12.75" x14ac:dyDescent="0.2"/>
    <row r="326" s="32" customFormat="1" ht="12.75" x14ac:dyDescent="0.2"/>
    <row r="327" s="32" customFormat="1" ht="12.75" x14ac:dyDescent="0.2"/>
    <row r="328" s="32" customFormat="1" ht="12.75" x14ac:dyDescent="0.2"/>
    <row r="329" s="32" customFormat="1" ht="12.75" x14ac:dyDescent="0.2"/>
    <row r="330" s="32" customFormat="1" ht="12.75" x14ac:dyDescent="0.2"/>
    <row r="331" s="32" customFormat="1" ht="12.75" x14ac:dyDescent="0.2"/>
    <row r="332" s="32" customFormat="1" ht="12.75" x14ac:dyDescent="0.2"/>
    <row r="333" s="32" customFormat="1" ht="12.75" x14ac:dyDescent="0.2"/>
    <row r="334" s="32" customFormat="1" ht="12.75" x14ac:dyDescent="0.2"/>
    <row r="335" s="32" customFormat="1" ht="12.75" x14ac:dyDescent="0.2"/>
    <row r="336" s="32" customFormat="1" ht="12.75" x14ac:dyDescent="0.2"/>
    <row r="337" s="32" customFormat="1" ht="12.75" x14ac:dyDescent="0.2"/>
    <row r="338" s="32" customFormat="1" ht="12.75" x14ac:dyDescent="0.2"/>
    <row r="339" s="32" customFormat="1" ht="12.75" x14ac:dyDescent="0.2"/>
    <row r="340" s="32" customFormat="1" ht="12.75" x14ac:dyDescent="0.2"/>
    <row r="341" s="32" customFormat="1" ht="12.75" x14ac:dyDescent="0.2"/>
    <row r="342" s="32" customFormat="1" ht="12.75" x14ac:dyDescent="0.2"/>
    <row r="343" s="32" customFormat="1" ht="12.75" x14ac:dyDescent="0.2"/>
    <row r="344" s="32" customFormat="1" ht="12.75" x14ac:dyDescent="0.2"/>
    <row r="345" s="32" customFormat="1" ht="12.75" x14ac:dyDescent="0.2"/>
    <row r="346" s="32" customFormat="1" ht="12.75" x14ac:dyDescent="0.2"/>
    <row r="347" s="32" customFormat="1" ht="12.75" x14ac:dyDescent="0.2"/>
    <row r="348" s="32" customFormat="1" ht="12.75" x14ac:dyDescent="0.2"/>
    <row r="349" s="32" customFormat="1" ht="12.75" x14ac:dyDescent="0.2"/>
    <row r="350" s="32" customFormat="1" ht="12.75" x14ac:dyDescent="0.2"/>
    <row r="351" s="32" customFormat="1" ht="12.75" x14ac:dyDescent="0.2"/>
    <row r="352" s="32" customFormat="1" ht="12.75" x14ac:dyDescent="0.2"/>
    <row r="353" s="32" customFormat="1" ht="12.75" x14ac:dyDescent="0.2"/>
    <row r="354" s="32" customFormat="1" ht="12.75" x14ac:dyDescent="0.2"/>
    <row r="355" s="32" customFormat="1" ht="12.75" x14ac:dyDescent="0.2"/>
    <row r="356" s="32" customFormat="1" ht="12.75" x14ac:dyDescent="0.2"/>
    <row r="357" s="32" customFormat="1" ht="12.75" x14ac:dyDescent="0.2"/>
    <row r="358" s="32" customFormat="1" ht="12.75" x14ac:dyDescent="0.2"/>
    <row r="359" s="32" customFormat="1" ht="12.75" x14ac:dyDescent="0.2"/>
    <row r="360" s="32" customFormat="1" ht="12.75" x14ac:dyDescent="0.2"/>
    <row r="361" s="32" customFormat="1" ht="12.75" x14ac:dyDescent="0.2"/>
    <row r="362" s="32" customFormat="1" ht="12.75" x14ac:dyDescent="0.2"/>
    <row r="363" s="32" customFormat="1" ht="12.75" x14ac:dyDescent="0.2"/>
    <row r="364" s="32" customFormat="1" ht="12.75" x14ac:dyDescent="0.2"/>
    <row r="365" s="32" customFormat="1" ht="12.75" x14ac:dyDescent="0.2"/>
    <row r="366" s="32" customFormat="1" ht="12.75" x14ac:dyDescent="0.2"/>
    <row r="367" s="32" customFormat="1" ht="12.75" x14ac:dyDescent="0.2"/>
    <row r="368" s="32" customFormat="1" ht="12.75" x14ac:dyDescent="0.2"/>
    <row r="369" s="32" customFormat="1" ht="12.75" x14ac:dyDescent="0.2"/>
    <row r="370" s="32" customFormat="1" ht="12.75" x14ac:dyDescent="0.2"/>
    <row r="371" s="32" customFormat="1" ht="12.75" x14ac:dyDescent="0.2"/>
    <row r="372" s="32" customFormat="1" ht="12.75" x14ac:dyDescent="0.2"/>
    <row r="373" s="32" customFormat="1" ht="12.75" x14ac:dyDescent="0.2"/>
    <row r="374" s="32" customFormat="1" ht="12.75" x14ac:dyDescent="0.2"/>
    <row r="375" s="32" customFormat="1" ht="12.75" x14ac:dyDescent="0.2"/>
    <row r="376" s="32" customFormat="1" ht="12.75" x14ac:dyDescent="0.2"/>
    <row r="377" s="32" customFormat="1" ht="12.75" x14ac:dyDescent="0.2"/>
    <row r="378" s="32" customFormat="1" ht="12.75" x14ac:dyDescent="0.2"/>
    <row r="379" s="32" customFormat="1" ht="12.75" x14ac:dyDescent="0.2"/>
    <row r="380" s="32" customFormat="1" ht="12.75" x14ac:dyDescent="0.2"/>
    <row r="381" s="32" customFormat="1" ht="12.75" x14ac:dyDescent="0.2"/>
    <row r="382" s="32" customFormat="1" ht="12.75" x14ac:dyDescent="0.2"/>
    <row r="383" s="32" customFormat="1" ht="12.75" x14ac:dyDescent="0.2"/>
    <row r="384" s="32" customFormat="1" ht="12.75" x14ac:dyDescent="0.2"/>
    <row r="385" s="32" customFormat="1" ht="12.75" x14ac:dyDescent="0.2"/>
    <row r="386" s="32" customFormat="1" ht="12.75" x14ac:dyDescent="0.2"/>
    <row r="387" s="32" customFormat="1" ht="12.75" x14ac:dyDescent="0.2"/>
    <row r="388" s="32" customFormat="1" ht="12.75" x14ac:dyDescent="0.2"/>
    <row r="389" s="32" customFormat="1" ht="12.75" x14ac:dyDescent="0.2"/>
    <row r="390" s="32" customFormat="1" ht="12.75" x14ac:dyDescent="0.2"/>
    <row r="391" s="32" customFormat="1" ht="12.75" x14ac:dyDescent="0.2"/>
    <row r="392" s="32" customFormat="1" ht="12.75" x14ac:dyDescent="0.2"/>
    <row r="393" s="32" customFormat="1" ht="12.75" x14ac:dyDescent="0.2"/>
    <row r="394" s="32" customFormat="1" ht="12.75" x14ac:dyDescent="0.2"/>
    <row r="395" s="32" customFormat="1" ht="12.75" x14ac:dyDescent="0.2"/>
    <row r="396" s="32" customFormat="1" ht="12.75" x14ac:dyDescent="0.2"/>
    <row r="397" s="32" customFormat="1" ht="12.75" x14ac:dyDescent="0.2"/>
    <row r="398" s="32" customFormat="1" ht="12.75" x14ac:dyDescent="0.2"/>
    <row r="399" s="32" customFormat="1" ht="12.75" x14ac:dyDescent="0.2"/>
    <row r="400" s="32" customFormat="1" ht="12.75" x14ac:dyDescent="0.2"/>
    <row r="401" s="32" customFormat="1" ht="12.75" x14ac:dyDescent="0.2"/>
    <row r="402" s="32" customFormat="1" ht="12.75" x14ac:dyDescent="0.2"/>
    <row r="403" s="32" customFormat="1" ht="12.75" x14ac:dyDescent="0.2"/>
    <row r="404" s="32" customFormat="1" ht="12.75" x14ac:dyDescent="0.2"/>
    <row r="405" s="32" customFormat="1" ht="12.75" x14ac:dyDescent="0.2"/>
    <row r="406" s="32" customFormat="1" ht="12.75" x14ac:dyDescent="0.2"/>
    <row r="407" s="32" customFormat="1" ht="12.75" x14ac:dyDescent="0.2"/>
    <row r="408" s="32" customFormat="1" ht="12.75" x14ac:dyDescent="0.2"/>
    <row r="409" s="32" customFormat="1" ht="12.75" x14ac:dyDescent="0.2"/>
    <row r="410" s="32" customFormat="1" ht="12.75" x14ac:dyDescent="0.2"/>
    <row r="411" s="32" customFormat="1" ht="12.75" x14ac:dyDescent="0.2"/>
    <row r="412" s="32" customFormat="1" ht="12.75" x14ac:dyDescent="0.2"/>
    <row r="413" s="32" customFormat="1" ht="12.75" x14ac:dyDescent="0.2"/>
    <row r="414" s="32" customFormat="1" ht="12.75" x14ac:dyDescent="0.2"/>
    <row r="415" s="32" customFormat="1" ht="12.75" x14ac:dyDescent="0.2"/>
    <row r="416" s="32" customFormat="1" ht="12.75" x14ac:dyDescent="0.2"/>
    <row r="417" s="32" customFormat="1" ht="12.75" x14ac:dyDescent="0.2"/>
    <row r="418" s="32" customFormat="1" ht="12.75" x14ac:dyDescent="0.2"/>
    <row r="419" s="32" customFormat="1" ht="12.75" x14ac:dyDescent="0.2"/>
    <row r="420" s="32" customFormat="1" ht="12.75" x14ac:dyDescent="0.2"/>
    <row r="421" s="32" customFormat="1" ht="12.75" x14ac:dyDescent="0.2"/>
    <row r="422" s="32" customFormat="1" ht="12.75" x14ac:dyDescent="0.2"/>
    <row r="423" s="32" customFormat="1" ht="12.75" x14ac:dyDescent="0.2"/>
    <row r="424" s="32" customFormat="1" ht="12.75" x14ac:dyDescent="0.2"/>
    <row r="425" s="32" customFormat="1" ht="12.75" x14ac:dyDescent="0.2"/>
    <row r="426" s="32" customFormat="1" ht="12.75" x14ac:dyDescent="0.2"/>
    <row r="427" s="32" customFormat="1" ht="12.75" x14ac:dyDescent="0.2"/>
    <row r="428" s="32" customFormat="1" ht="12.75" x14ac:dyDescent="0.2"/>
    <row r="429" s="32" customFormat="1" ht="12.75" x14ac:dyDescent="0.2"/>
    <row r="430" s="32" customFormat="1" ht="12.75" x14ac:dyDescent="0.2"/>
    <row r="431" s="32" customFormat="1" ht="12.75" x14ac:dyDescent="0.2"/>
    <row r="432" s="32" customFormat="1" ht="12.75" x14ac:dyDescent="0.2"/>
    <row r="433" s="32" customFormat="1" ht="12.75" x14ac:dyDescent="0.2"/>
    <row r="434" s="32" customFormat="1" ht="12.75" x14ac:dyDescent="0.2"/>
    <row r="435" s="32" customFormat="1" ht="12.75" x14ac:dyDescent="0.2"/>
    <row r="436" s="32" customFormat="1" ht="12.75" x14ac:dyDescent="0.2"/>
    <row r="437" s="32" customFormat="1" ht="12.75" x14ac:dyDescent="0.2"/>
    <row r="438" s="32" customFormat="1" ht="12.75" x14ac:dyDescent="0.2"/>
    <row r="439" s="32" customFormat="1" ht="12.75" x14ac:dyDescent="0.2"/>
    <row r="440" s="32" customFormat="1" ht="12.75" x14ac:dyDescent="0.2"/>
    <row r="441" s="32" customFormat="1" ht="12.75" x14ac:dyDescent="0.2"/>
    <row r="442" s="32" customFormat="1" ht="12.75" x14ac:dyDescent="0.2"/>
    <row r="443" s="32" customFormat="1" ht="12.75" x14ac:dyDescent="0.2"/>
    <row r="444" s="32" customFormat="1" ht="12.75" x14ac:dyDescent="0.2"/>
    <row r="445" s="32" customFormat="1" ht="12.75" x14ac:dyDescent="0.2"/>
    <row r="446" s="32" customFormat="1" ht="12.75" x14ac:dyDescent="0.2"/>
    <row r="447" s="32" customFormat="1" ht="12.75" x14ac:dyDescent="0.2"/>
    <row r="448" s="32" customFormat="1" ht="12.75" x14ac:dyDescent="0.2"/>
    <row r="449" s="32" customFormat="1" ht="12.75" x14ac:dyDescent="0.2"/>
    <row r="450" s="32" customFormat="1" ht="12.75" x14ac:dyDescent="0.2"/>
    <row r="451" s="32" customFormat="1" ht="12.75" x14ac:dyDescent="0.2"/>
    <row r="452" s="32" customFormat="1" ht="12.75" x14ac:dyDescent="0.2"/>
    <row r="453" s="32" customFormat="1" ht="12.75" x14ac:dyDescent="0.2"/>
    <row r="454" s="32" customFormat="1" ht="12.75" x14ac:dyDescent="0.2"/>
    <row r="455" s="32" customFormat="1" ht="12.75" x14ac:dyDescent="0.2"/>
    <row r="456" s="32" customFormat="1" ht="12.75" x14ac:dyDescent="0.2"/>
    <row r="457" s="32" customFormat="1" ht="12.75" x14ac:dyDescent="0.2"/>
    <row r="458" s="32" customFormat="1" ht="12.75" x14ac:dyDescent="0.2"/>
    <row r="459" s="32" customFormat="1" ht="12.75" x14ac:dyDescent="0.2"/>
    <row r="460" s="32" customFormat="1" ht="12.75" x14ac:dyDescent="0.2"/>
    <row r="461" s="32" customFormat="1" ht="12.75" x14ac:dyDescent="0.2"/>
    <row r="462" s="32" customFormat="1" ht="12.75" x14ac:dyDescent="0.2"/>
    <row r="463" s="32" customFormat="1" ht="12.75" x14ac:dyDescent="0.2"/>
    <row r="464" s="32" customFormat="1" ht="12.75" x14ac:dyDescent="0.2"/>
    <row r="465" s="32" customFormat="1" ht="12.75" x14ac:dyDescent="0.2"/>
    <row r="466" s="32" customFormat="1" ht="12.75" x14ac:dyDescent="0.2"/>
    <row r="467" s="32" customFormat="1" ht="12.75" x14ac:dyDescent="0.2"/>
    <row r="468" s="32" customFormat="1" ht="12.75" x14ac:dyDescent="0.2"/>
    <row r="469" s="32" customFormat="1" ht="12.75" x14ac:dyDescent="0.2"/>
    <row r="470" s="32" customFormat="1" ht="12.75" x14ac:dyDescent="0.2"/>
    <row r="471" s="32" customFormat="1" ht="12.75" x14ac:dyDescent="0.2"/>
    <row r="472" s="32" customFormat="1" ht="12.75" x14ac:dyDescent="0.2"/>
    <row r="473" s="32" customFormat="1" ht="12.75" x14ac:dyDescent="0.2"/>
    <row r="474" s="32" customFormat="1" ht="12.75" x14ac:dyDescent="0.2"/>
    <row r="475" s="32" customFormat="1" ht="12.75" x14ac:dyDescent="0.2"/>
    <row r="476" s="32" customFormat="1" ht="12.75" x14ac:dyDescent="0.2"/>
    <row r="477" s="32" customFormat="1" ht="12.75" x14ac:dyDescent="0.2"/>
    <row r="478" s="32" customFormat="1" ht="12.75" x14ac:dyDescent="0.2"/>
    <row r="479" s="32" customFormat="1" ht="12.75" x14ac:dyDescent="0.2"/>
    <row r="480" s="32" customFormat="1" ht="12.75" x14ac:dyDescent="0.2"/>
    <row r="481" s="32" customFormat="1" ht="12.75" x14ac:dyDescent="0.2"/>
    <row r="482" s="32" customFormat="1" ht="12.75" x14ac:dyDescent="0.2"/>
    <row r="483" s="32" customFormat="1" ht="12.75" x14ac:dyDescent="0.2"/>
    <row r="484" s="32" customFormat="1" ht="12.75" x14ac:dyDescent="0.2"/>
    <row r="485" s="32" customFormat="1" ht="12.75" x14ac:dyDescent="0.2"/>
    <row r="486" s="32" customFormat="1" ht="12.75" x14ac:dyDescent="0.2"/>
    <row r="487" s="32" customFormat="1" ht="12.75" x14ac:dyDescent="0.2"/>
    <row r="488" s="32" customFormat="1" ht="12.75" x14ac:dyDescent="0.2"/>
    <row r="489" s="32" customFormat="1" ht="12.75" x14ac:dyDescent="0.2"/>
    <row r="490" s="32" customFormat="1" ht="12.75" x14ac:dyDescent="0.2"/>
    <row r="491" s="32" customFormat="1" ht="12.75" x14ac:dyDescent="0.2"/>
    <row r="492" s="32" customFormat="1" ht="12.75" x14ac:dyDescent="0.2"/>
    <row r="493" s="32" customFormat="1" ht="12.75" x14ac:dyDescent="0.2"/>
    <row r="494" s="32" customFormat="1" ht="12.75" x14ac:dyDescent="0.2"/>
    <row r="495" s="32" customFormat="1" ht="12.75" x14ac:dyDescent="0.2"/>
    <row r="496" s="32" customFormat="1" ht="12.75" x14ac:dyDescent="0.2"/>
    <row r="497" s="32" customFormat="1" ht="12.75" x14ac:dyDescent="0.2"/>
    <row r="498" s="32" customFormat="1" ht="12.75" x14ac:dyDescent="0.2"/>
    <row r="499" s="32" customFormat="1" ht="12.75" x14ac:dyDescent="0.2"/>
    <row r="500" s="32" customFormat="1" ht="12.75" x14ac:dyDescent="0.2"/>
    <row r="501" s="32" customFormat="1" ht="12.75" x14ac:dyDescent="0.2"/>
    <row r="502" s="32" customFormat="1" ht="12.75" x14ac:dyDescent="0.2"/>
    <row r="503" s="32" customFormat="1" ht="12.75" x14ac:dyDescent="0.2"/>
    <row r="504" s="32" customFormat="1" ht="12.75" x14ac:dyDescent="0.2"/>
    <row r="505" s="32" customFormat="1" ht="12.75" x14ac:dyDescent="0.2"/>
    <row r="506" s="32" customFormat="1" ht="12.75" x14ac:dyDescent="0.2"/>
    <row r="507" s="32" customFormat="1" ht="12.75" x14ac:dyDescent="0.2"/>
    <row r="508" s="32" customFormat="1" ht="12.75" x14ac:dyDescent="0.2"/>
    <row r="509" s="32" customFormat="1" ht="12.75" x14ac:dyDescent="0.2"/>
    <row r="510" s="32" customFormat="1" ht="12.75" x14ac:dyDescent="0.2"/>
    <row r="511" s="32" customFormat="1" ht="12.75" x14ac:dyDescent="0.2"/>
    <row r="512" s="32" customFormat="1" ht="12.75" x14ac:dyDescent="0.2"/>
    <row r="513" s="32" customFormat="1" ht="12.75" x14ac:dyDescent="0.2"/>
    <row r="514" s="32" customFormat="1" ht="12.75" x14ac:dyDescent="0.2"/>
    <row r="515" s="32" customFormat="1" ht="12.75" x14ac:dyDescent="0.2"/>
    <row r="516" s="32" customFormat="1" ht="12.75" x14ac:dyDescent="0.2"/>
    <row r="517" s="32" customFormat="1" ht="12.75" x14ac:dyDescent="0.2"/>
    <row r="518" s="32" customFormat="1" ht="12.75" x14ac:dyDescent="0.2"/>
    <row r="519" s="32" customFormat="1" ht="12.75" x14ac:dyDescent="0.2"/>
    <row r="520" s="32" customFormat="1" ht="12.75" x14ac:dyDescent="0.2"/>
    <row r="521" s="32" customFormat="1" ht="12.75" x14ac:dyDescent="0.2"/>
    <row r="522" s="32" customFormat="1" ht="12.75" x14ac:dyDescent="0.2"/>
    <row r="523" s="32" customFormat="1" ht="12.75" x14ac:dyDescent="0.2"/>
    <row r="524" s="32" customFormat="1" ht="12.75" x14ac:dyDescent="0.2"/>
    <row r="525" s="32" customFormat="1" ht="12.75" x14ac:dyDescent="0.2"/>
    <row r="526" s="32" customFormat="1" ht="12.75" x14ac:dyDescent="0.2"/>
    <row r="527" s="32" customFormat="1" ht="12.75" x14ac:dyDescent="0.2"/>
    <row r="528" s="32" customFormat="1" ht="12.75" x14ac:dyDescent="0.2"/>
    <row r="529" s="32" customFormat="1" ht="12.75" x14ac:dyDescent="0.2"/>
    <row r="530" s="32" customFormat="1" ht="12.75" x14ac:dyDescent="0.2"/>
    <row r="531" s="32" customFormat="1" ht="12.75" x14ac:dyDescent="0.2"/>
    <row r="532" s="32" customFormat="1" ht="12.75" x14ac:dyDescent="0.2"/>
    <row r="533" s="32" customFormat="1" ht="12.75" x14ac:dyDescent="0.2"/>
    <row r="534" s="32" customFormat="1" ht="12.75" x14ac:dyDescent="0.2"/>
    <row r="535" s="32" customFormat="1" ht="12.75" x14ac:dyDescent="0.2"/>
    <row r="536" s="32" customFormat="1" ht="12.75" x14ac:dyDescent="0.2"/>
    <row r="537" s="32" customFormat="1" ht="12.75" x14ac:dyDescent="0.2"/>
    <row r="538" s="32" customFormat="1" ht="12.75" x14ac:dyDescent="0.2"/>
    <row r="539" s="32" customFormat="1" ht="12.75" x14ac:dyDescent="0.2"/>
    <row r="540" s="32" customFormat="1" ht="12.75" x14ac:dyDescent="0.2"/>
    <row r="541" s="32" customFormat="1" ht="12.75" x14ac:dyDescent="0.2"/>
    <row r="542" s="32" customFormat="1" ht="12.75" x14ac:dyDescent="0.2"/>
    <row r="543" s="32" customFormat="1" ht="12.75" x14ac:dyDescent="0.2"/>
    <row r="544" s="32" customFormat="1" ht="12.75" x14ac:dyDescent="0.2"/>
    <row r="545" s="32" customFormat="1" ht="12.75" x14ac:dyDescent="0.2"/>
    <row r="546" s="32" customFormat="1" ht="12.75" x14ac:dyDescent="0.2"/>
    <row r="547" s="32" customFormat="1" ht="12.75" x14ac:dyDescent="0.2"/>
    <row r="548" s="32" customFormat="1" ht="12.75" x14ac:dyDescent="0.2"/>
    <row r="549" s="32" customFormat="1" ht="12.75" x14ac:dyDescent="0.2"/>
    <row r="550" s="32" customFormat="1" ht="12.75" x14ac:dyDescent="0.2"/>
    <row r="551" s="32" customFormat="1" ht="12.75" x14ac:dyDescent="0.2"/>
    <row r="552" s="32" customFormat="1" ht="12.75" x14ac:dyDescent="0.2"/>
    <row r="553" s="32" customFormat="1" ht="12.75" x14ac:dyDescent="0.2"/>
    <row r="554" s="32" customFormat="1" ht="12.75" x14ac:dyDescent="0.2"/>
    <row r="555" s="32" customFormat="1" ht="12.75" x14ac:dyDescent="0.2"/>
    <row r="556" s="32" customFormat="1" ht="12.75" x14ac:dyDescent="0.2"/>
    <row r="557" s="32" customFormat="1" ht="12.75" x14ac:dyDescent="0.2"/>
    <row r="558" s="32" customFormat="1" ht="12.75" x14ac:dyDescent="0.2"/>
    <row r="559" s="32" customFormat="1" ht="12.75" x14ac:dyDescent="0.2"/>
    <row r="560" s="32" customFormat="1" ht="12.75" x14ac:dyDescent="0.2"/>
    <row r="561" s="32" customFormat="1" ht="12.75" x14ac:dyDescent="0.2"/>
    <row r="562" s="32" customFormat="1" ht="12.75" x14ac:dyDescent="0.2"/>
    <row r="563" s="32" customFormat="1" ht="12.75" x14ac:dyDescent="0.2"/>
    <row r="564" s="32" customFormat="1" ht="12.75" x14ac:dyDescent="0.2"/>
    <row r="565" s="32" customFormat="1" ht="12.75" x14ac:dyDescent="0.2"/>
    <row r="566" s="32" customFormat="1" ht="12.75" x14ac:dyDescent="0.2"/>
    <row r="567" s="32" customFormat="1" ht="12.75" x14ac:dyDescent="0.2"/>
    <row r="568" s="32" customFormat="1" ht="12.75" x14ac:dyDescent="0.2"/>
    <row r="569" s="32" customFormat="1" ht="12.75" x14ac:dyDescent="0.2"/>
    <row r="570" s="32" customFormat="1" ht="12.75" x14ac:dyDescent="0.2"/>
    <row r="571" s="32" customFormat="1" ht="12.75" x14ac:dyDescent="0.2"/>
    <row r="572" s="32" customFormat="1" ht="12.75" x14ac:dyDescent="0.2"/>
    <row r="573" s="32" customFormat="1" ht="12.75" x14ac:dyDescent="0.2"/>
    <row r="574" s="32" customFormat="1" ht="12.75" x14ac:dyDescent="0.2"/>
    <row r="575" s="32" customFormat="1" ht="12.75" x14ac:dyDescent="0.2"/>
    <row r="576" s="32" customFormat="1" ht="12.75" x14ac:dyDescent="0.2"/>
    <row r="577" s="32" customFormat="1" ht="12.75" x14ac:dyDescent="0.2"/>
    <row r="578" s="32" customFormat="1" ht="12.75" x14ac:dyDescent="0.2"/>
    <row r="579" s="32" customFormat="1" ht="12.75" x14ac:dyDescent="0.2"/>
    <row r="580" s="32" customFormat="1" ht="12.75" x14ac:dyDescent="0.2"/>
    <row r="581" s="32" customFormat="1" ht="12.75" x14ac:dyDescent="0.2"/>
    <row r="582" s="32" customFormat="1" ht="12.75" x14ac:dyDescent="0.2"/>
    <row r="583" s="32" customFormat="1" ht="12.75" x14ac:dyDescent="0.2"/>
    <row r="584" s="32" customFormat="1" ht="12.75" x14ac:dyDescent="0.2"/>
    <row r="585" s="32" customFormat="1" ht="12.75" x14ac:dyDescent="0.2"/>
    <row r="586" s="32" customFormat="1" ht="12.75" x14ac:dyDescent="0.2"/>
    <row r="587" s="32" customFormat="1" ht="12.75" x14ac:dyDescent="0.2"/>
    <row r="588" s="32" customFormat="1" ht="12.75" x14ac:dyDescent="0.2"/>
    <row r="589" s="32" customFormat="1" ht="12.75" x14ac:dyDescent="0.2"/>
    <row r="590" s="32" customFormat="1" ht="12.75" x14ac:dyDescent="0.2"/>
    <row r="591" s="32" customFormat="1" ht="12.75" x14ac:dyDescent="0.2"/>
    <row r="592" s="32" customFormat="1" ht="12.75" x14ac:dyDescent="0.2"/>
    <row r="593" s="32" customFormat="1" ht="12.75" x14ac:dyDescent="0.2"/>
    <row r="594" s="32" customFormat="1" ht="12.75" x14ac:dyDescent="0.2"/>
    <row r="595" s="32" customFormat="1" ht="12.75" x14ac:dyDescent="0.2"/>
    <row r="596" s="32" customFormat="1" ht="12.75" x14ac:dyDescent="0.2"/>
    <row r="597" s="32" customFormat="1" ht="12.75" x14ac:dyDescent="0.2"/>
    <row r="598" s="32" customFormat="1" ht="12.75" x14ac:dyDescent="0.2"/>
    <row r="599" s="32" customFormat="1" ht="12.75" x14ac:dyDescent="0.2"/>
    <row r="600" s="32" customFormat="1" ht="12.75" x14ac:dyDescent="0.2"/>
    <row r="601" s="32" customFormat="1" ht="12.75" x14ac:dyDescent="0.2"/>
    <row r="602" s="32" customFormat="1" ht="12.75" x14ac:dyDescent="0.2"/>
    <row r="603" s="32" customFormat="1" ht="12.75" x14ac:dyDescent="0.2"/>
    <row r="604" s="32" customFormat="1" ht="12.75" x14ac:dyDescent="0.2"/>
    <row r="605" s="32" customFormat="1" ht="12.75" x14ac:dyDescent="0.2"/>
    <row r="606" s="32" customFormat="1" ht="12.75" x14ac:dyDescent="0.2"/>
    <row r="607" s="32" customFormat="1" ht="12.75" x14ac:dyDescent="0.2"/>
    <row r="608" s="32" customFormat="1" ht="12.75" x14ac:dyDescent="0.2"/>
    <row r="609" s="32" customFormat="1" ht="12.75" x14ac:dyDescent="0.2"/>
    <row r="610" s="32" customFormat="1" ht="12.75" x14ac:dyDescent="0.2"/>
    <row r="611" s="32" customFormat="1" ht="12.75" x14ac:dyDescent="0.2"/>
    <row r="612" s="32" customFormat="1" ht="12.75" x14ac:dyDescent="0.2"/>
    <row r="613" s="32" customFormat="1" ht="12.75" x14ac:dyDescent="0.2"/>
    <row r="614" s="32" customFormat="1" ht="12.75" x14ac:dyDescent="0.2"/>
    <row r="615" s="32" customFormat="1" ht="12.75" x14ac:dyDescent="0.2"/>
    <row r="616" s="32" customFormat="1" ht="12.75" x14ac:dyDescent="0.2"/>
    <row r="617" s="32" customFormat="1" ht="12.75" x14ac:dyDescent="0.2"/>
    <row r="618" s="32" customFormat="1" ht="12.75" x14ac:dyDescent="0.2"/>
    <row r="619" s="32" customFormat="1" ht="12.75" x14ac:dyDescent="0.2"/>
    <row r="620" s="32" customFormat="1" ht="12.75" x14ac:dyDescent="0.2"/>
    <row r="621" s="32" customFormat="1" ht="12.75" x14ac:dyDescent="0.2"/>
    <row r="622" s="32" customFormat="1" ht="12.75" x14ac:dyDescent="0.2"/>
    <row r="623" s="32" customFormat="1" ht="12.75" x14ac:dyDescent="0.2"/>
    <row r="624" s="32" customFormat="1" ht="12.75" x14ac:dyDescent="0.2"/>
    <row r="625" s="32" customFormat="1" ht="12.75" x14ac:dyDescent="0.2"/>
    <row r="626" s="32" customFormat="1" ht="12.75" x14ac:dyDescent="0.2"/>
    <row r="627" s="32" customFormat="1" ht="12.75" x14ac:dyDescent="0.2"/>
    <row r="628" s="32" customFormat="1" ht="12.75" x14ac:dyDescent="0.2"/>
    <row r="629" s="32" customFormat="1" ht="12.75" x14ac:dyDescent="0.2"/>
    <row r="630" s="32" customFormat="1" ht="12.75" x14ac:dyDescent="0.2"/>
    <row r="631" s="32" customFormat="1" ht="12.75" x14ac:dyDescent="0.2"/>
    <row r="632" s="32" customFormat="1" ht="12.75" x14ac:dyDescent="0.2"/>
    <row r="633" s="32" customFormat="1" ht="12.75" x14ac:dyDescent="0.2"/>
    <row r="634" s="32" customFormat="1" ht="12.75" x14ac:dyDescent="0.2"/>
    <row r="635" s="32" customFormat="1" ht="12.75" x14ac:dyDescent="0.2"/>
    <row r="636" s="32" customFormat="1" ht="12.75" x14ac:dyDescent="0.2"/>
    <row r="637" s="32" customFormat="1" ht="12.75" x14ac:dyDescent="0.2"/>
    <row r="638" s="32" customFormat="1" ht="12.75" x14ac:dyDescent="0.2"/>
    <row r="639" s="32" customFormat="1" ht="12.75" x14ac:dyDescent="0.2"/>
    <row r="640" s="32" customFormat="1" ht="12.75" x14ac:dyDescent="0.2"/>
    <row r="641" s="32" customFormat="1" ht="12.75" x14ac:dyDescent="0.2"/>
    <row r="642" s="32" customFormat="1" ht="12.75" x14ac:dyDescent="0.2"/>
    <row r="643" s="32" customFormat="1" ht="12.75" x14ac:dyDescent="0.2"/>
    <row r="644" s="32" customFormat="1" ht="12.75" x14ac:dyDescent="0.2"/>
    <row r="645" s="32" customFormat="1" ht="12.75" x14ac:dyDescent="0.2"/>
    <row r="646" s="32" customFormat="1" ht="12.75" x14ac:dyDescent="0.2"/>
    <row r="647" s="32" customFormat="1" ht="12.75" x14ac:dyDescent="0.2"/>
    <row r="648" s="32" customFormat="1" ht="12.75" x14ac:dyDescent="0.2"/>
    <row r="649" s="32" customFormat="1" ht="12.75" x14ac:dyDescent="0.2"/>
    <row r="650" s="32" customFormat="1" ht="12.75" x14ac:dyDescent="0.2"/>
    <row r="651" s="32" customFormat="1" ht="12.75" x14ac:dyDescent="0.2"/>
    <row r="652" s="32" customFormat="1" ht="12.75" x14ac:dyDescent="0.2"/>
    <row r="653" s="32" customFormat="1" ht="12.75" x14ac:dyDescent="0.2"/>
    <row r="654" s="32" customFormat="1" ht="12.75" x14ac:dyDescent="0.2"/>
    <row r="655" s="32" customFormat="1" ht="12.75" x14ac:dyDescent="0.2"/>
    <row r="656" s="32" customFormat="1" ht="12.75" x14ac:dyDescent="0.2"/>
    <row r="657" s="32" customFormat="1" ht="12.75" x14ac:dyDescent="0.2"/>
    <row r="658" s="32" customFormat="1" ht="12.75" x14ac:dyDescent="0.2"/>
    <row r="659" s="32" customFormat="1" ht="12.75" x14ac:dyDescent="0.2"/>
    <row r="660" s="32" customFormat="1" ht="12.75" x14ac:dyDescent="0.2"/>
    <row r="661" s="32" customFormat="1" ht="12.75" x14ac:dyDescent="0.2"/>
    <row r="662" s="32" customFormat="1" ht="12.75" x14ac:dyDescent="0.2"/>
    <row r="663" s="32" customFormat="1" ht="12.75" x14ac:dyDescent="0.2"/>
    <row r="664" s="32" customFormat="1" ht="12.75" x14ac:dyDescent="0.2"/>
    <row r="665" s="32" customFormat="1" ht="12.75" x14ac:dyDescent="0.2"/>
    <row r="666" s="32" customFormat="1" ht="12.75" x14ac:dyDescent="0.2"/>
    <row r="667" s="32" customFormat="1" ht="12.75" x14ac:dyDescent="0.2"/>
    <row r="668" s="32" customFormat="1" ht="12.75" x14ac:dyDescent="0.2"/>
    <row r="669" s="32" customFormat="1" ht="12.75" x14ac:dyDescent="0.2"/>
    <row r="670" s="32" customFormat="1" ht="12.75" x14ac:dyDescent="0.2"/>
    <row r="671" s="32" customFormat="1" ht="12.75" x14ac:dyDescent="0.2"/>
    <row r="672" s="32" customFormat="1" ht="12.75" x14ac:dyDescent="0.2"/>
    <row r="673" s="32" customFormat="1" ht="12.75" x14ac:dyDescent="0.2"/>
    <row r="674" s="32" customFormat="1" ht="12.75" x14ac:dyDescent="0.2"/>
    <row r="675" s="32" customFormat="1" ht="12.75" x14ac:dyDescent="0.2"/>
    <row r="676" s="32" customFormat="1" ht="12.75" x14ac:dyDescent="0.2"/>
    <row r="677" s="32" customFormat="1" ht="12.75" x14ac:dyDescent="0.2"/>
    <row r="678" s="32" customFormat="1" ht="12.75" x14ac:dyDescent="0.2"/>
    <row r="679" s="32" customFormat="1" ht="12.75" x14ac:dyDescent="0.2"/>
    <row r="680" s="32" customFormat="1" ht="12.75" x14ac:dyDescent="0.2"/>
    <row r="681" s="32" customFormat="1" ht="12.75" x14ac:dyDescent="0.2"/>
    <row r="682" s="32" customFormat="1" ht="12.75" x14ac:dyDescent="0.2"/>
    <row r="683" s="32" customFormat="1" ht="12.75" x14ac:dyDescent="0.2"/>
    <row r="684" s="32" customFormat="1" ht="12.75" x14ac:dyDescent="0.2"/>
    <row r="685" s="32" customFormat="1" ht="12.75" x14ac:dyDescent="0.2"/>
    <row r="686" s="32" customFormat="1" ht="12.75" x14ac:dyDescent="0.2"/>
    <row r="687" s="32" customFormat="1" ht="12.75" x14ac:dyDescent="0.2"/>
    <row r="688" s="32" customFormat="1" ht="12.75" x14ac:dyDescent="0.2"/>
    <row r="689" s="32" customFormat="1" ht="12.75" x14ac:dyDescent="0.2"/>
    <row r="690" s="32" customFormat="1" ht="12.75" x14ac:dyDescent="0.2"/>
    <row r="691" s="32" customFormat="1" ht="12.75" x14ac:dyDescent="0.2"/>
    <row r="692" s="32" customFormat="1" ht="12.75" x14ac:dyDescent="0.2"/>
    <row r="693" s="32" customFormat="1" ht="12.75" x14ac:dyDescent="0.2"/>
    <row r="694" s="32" customFormat="1" ht="12.75" x14ac:dyDescent="0.2"/>
    <row r="695" s="32" customFormat="1" ht="12.75" x14ac:dyDescent="0.2"/>
    <row r="696" s="32" customFormat="1" ht="12.75" x14ac:dyDescent="0.2"/>
    <row r="697" s="32" customFormat="1" ht="12.75" x14ac:dyDescent="0.2"/>
    <row r="698" s="32" customFormat="1" ht="12.75" x14ac:dyDescent="0.2"/>
    <row r="699" s="32" customFormat="1" ht="12.75" x14ac:dyDescent="0.2"/>
    <row r="700" s="32" customFormat="1" ht="12.75" x14ac:dyDescent="0.2"/>
    <row r="701" s="32" customFormat="1" ht="12.75" x14ac:dyDescent="0.2"/>
    <row r="702" s="32" customFormat="1" ht="12.75" x14ac:dyDescent="0.2"/>
    <row r="703" s="32" customFormat="1" ht="12.75" x14ac:dyDescent="0.2"/>
    <row r="704" s="32" customFormat="1" ht="12.75" x14ac:dyDescent="0.2"/>
    <row r="705" s="32" customFormat="1" ht="12.75" x14ac:dyDescent="0.2"/>
    <row r="706" s="32" customFormat="1" ht="12.75" x14ac:dyDescent="0.2"/>
    <row r="707" s="32" customFormat="1" ht="12.75" x14ac:dyDescent="0.2"/>
    <row r="708" s="32" customFormat="1" ht="12.75" x14ac:dyDescent="0.2"/>
    <row r="709" s="32" customFormat="1" ht="12.75" x14ac:dyDescent="0.2"/>
    <row r="710" s="32" customFormat="1" ht="12.75" x14ac:dyDescent="0.2"/>
    <row r="711" s="32" customFormat="1" ht="12.75" x14ac:dyDescent="0.2"/>
    <row r="712" s="32" customFormat="1" ht="12.75" x14ac:dyDescent="0.2"/>
    <row r="713" s="32" customFormat="1" ht="12.75" x14ac:dyDescent="0.2"/>
    <row r="714" s="32" customFormat="1" ht="12.75" x14ac:dyDescent="0.2"/>
    <row r="715" s="32" customFormat="1" ht="12.75" x14ac:dyDescent="0.2"/>
    <row r="716" s="32" customFormat="1" ht="12.75" x14ac:dyDescent="0.2"/>
    <row r="717" s="32" customFormat="1" ht="12.75" x14ac:dyDescent="0.2"/>
    <row r="718" s="32" customFormat="1" ht="12.75" x14ac:dyDescent="0.2"/>
    <row r="719" s="32" customFormat="1" ht="12.75" x14ac:dyDescent="0.2"/>
    <row r="720" s="32" customFormat="1" ht="12.75" x14ac:dyDescent="0.2"/>
    <row r="721" s="32" customFormat="1" ht="12.75" x14ac:dyDescent="0.2"/>
    <row r="722" s="32" customFormat="1" ht="12.75" x14ac:dyDescent="0.2"/>
    <row r="723" s="32" customFormat="1" ht="12.75" x14ac:dyDescent="0.2"/>
    <row r="724" s="32" customFormat="1" ht="12.75" x14ac:dyDescent="0.2"/>
    <row r="725" s="32" customFormat="1" ht="12.75" x14ac:dyDescent="0.2"/>
    <row r="726" s="32" customFormat="1" ht="12.75" x14ac:dyDescent="0.2"/>
    <row r="727" s="32" customFormat="1" ht="12.75" x14ac:dyDescent="0.2"/>
    <row r="728" s="32" customFormat="1" ht="12.75" x14ac:dyDescent="0.2"/>
    <row r="729" s="32" customFormat="1" ht="12.75" x14ac:dyDescent="0.2"/>
    <row r="730" s="32" customFormat="1" ht="12.75" x14ac:dyDescent="0.2"/>
    <row r="731" s="32" customFormat="1" ht="12.75" x14ac:dyDescent="0.2"/>
    <row r="732" s="32" customFormat="1" ht="12.75" x14ac:dyDescent="0.2"/>
    <row r="733" s="32" customFormat="1" ht="12.75" x14ac:dyDescent="0.2"/>
    <row r="734" s="32" customFormat="1" ht="12.75" x14ac:dyDescent="0.2"/>
    <row r="735" s="32" customFormat="1" ht="12.75" x14ac:dyDescent="0.2"/>
    <row r="736" s="32" customFormat="1" ht="12.75" x14ac:dyDescent="0.2"/>
    <row r="737" s="32" customFormat="1" ht="12.75" x14ac:dyDescent="0.2"/>
    <row r="738" s="32" customFormat="1" ht="12.75" x14ac:dyDescent="0.2"/>
    <row r="739" s="32" customFormat="1" ht="12.75" x14ac:dyDescent="0.2"/>
    <row r="740" s="32" customFormat="1" ht="12.75" x14ac:dyDescent="0.2"/>
    <row r="741" s="32" customFormat="1" ht="12.75" x14ac:dyDescent="0.2"/>
    <row r="742" s="32" customFormat="1" ht="12.75" x14ac:dyDescent="0.2"/>
    <row r="743" s="32" customFormat="1" ht="12.75" x14ac:dyDescent="0.2"/>
    <row r="744" s="32" customFormat="1" ht="12.75" x14ac:dyDescent="0.2"/>
    <row r="745" s="32" customFormat="1" ht="12.75" x14ac:dyDescent="0.2"/>
    <row r="746" s="32" customFormat="1" ht="12.75" x14ac:dyDescent="0.2"/>
    <row r="747" s="32" customFormat="1" ht="12.75" x14ac:dyDescent="0.2"/>
    <row r="748" s="32" customFormat="1" ht="12.75" x14ac:dyDescent="0.2"/>
    <row r="749" s="32" customFormat="1" ht="12.75" x14ac:dyDescent="0.2"/>
    <row r="750" s="32" customFormat="1" ht="12.75" x14ac:dyDescent="0.2"/>
    <row r="751" s="32" customFormat="1" ht="12.75" x14ac:dyDescent="0.2"/>
    <row r="752" s="32" customFormat="1" ht="12.75" x14ac:dyDescent="0.2"/>
    <row r="753" s="32" customFormat="1" ht="12.75" x14ac:dyDescent="0.2"/>
    <row r="754" s="32" customFormat="1" ht="12.75" x14ac:dyDescent="0.2"/>
    <row r="755" s="32" customFormat="1" ht="12.75" x14ac:dyDescent="0.2"/>
    <row r="756" s="32" customFormat="1" ht="12.75" x14ac:dyDescent="0.2"/>
    <row r="757" s="32" customFormat="1" ht="12.75" x14ac:dyDescent="0.2"/>
    <row r="758" s="32" customFormat="1" ht="12.75" x14ac:dyDescent="0.2"/>
    <row r="759" s="32" customFormat="1" ht="12.75" x14ac:dyDescent="0.2"/>
    <row r="760" s="32" customFormat="1" ht="12.75" x14ac:dyDescent="0.2"/>
    <row r="761" s="32" customFormat="1" ht="12.75" x14ac:dyDescent="0.2"/>
    <row r="762" s="32" customFormat="1" ht="12.75" x14ac:dyDescent="0.2"/>
    <row r="763" s="32" customFormat="1" ht="12.75" x14ac:dyDescent="0.2"/>
    <row r="764" s="32" customFormat="1" ht="12.75" x14ac:dyDescent="0.2"/>
    <row r="765" s="32" customFormat="1" ht="12.75" x14ac:dyDescent="0.2"/>
    <row r="766" s="32" customFormat="1" ht="12.75" x14ac:dyDescent="0.2"/>
    <row r="767" s="32" customFormat="1" ht="12.75" x14ac:dyDescent="0.2"/>
    <row r="768" s="32" customFormat="1" ht="12.75" x14ac:dyDescent="0.2"/>
    <row r="769" s="32" customFormat="1" ht="12.75" x14ac:dyDescent="0.2"/>
    <row r="770" s="32" customFormat="1" ht="12.75" x14ac:dyDescent="0.2"/>
    <row r="771" s="32" customFormat="1" ht="12.75" x14ac:dyDescent="0.2"/>
    <row r="772" s="32" customFormat="1" ht="12.75" x14ac:dyDescent="0.2"/>
    <row r="773" s="32" customFormat="1" ht="12.75" x14ac:dyDescent="0.2"/>
    <row r="774" s="32" customFormat="1" ht="12.75" x14ac:dyDescent="0.2"/>
    <row r="775" s="32" customFormat="1" ht="12.75" x14ac:dyDescent="0.2"/>
    <row r="776" s="32" customFormat="1" ht="12.75" x14ac:dyDescent="0.2"/>
    <row r="777" s="32" customFormat="1" ht="12.75" x14ac:dyDescent="0.2"/>
    <row r="778" s="32" customFormat="1" ht="12.75" x14ac:dyDescent="0.2"/>
    <row r="779" s="32" customFormat="1" ht="12.75" x14ac:dyDescent="0.2"/>
    <row r="780" s="32" customFormat="1" ht="12.75" x14ac:dyDescent="0.2"/>
    <row r="781" s="32" customFormat="1" ht="12.75" x14ac:dyDescent="0.2"/>
    <row r="782" s="32" customFormat="1" ht="12.75" x14ac:dyDescent="0.2"/>
    <row r="783" s="32" customFormat="1" ht="12.75" x14ac:dyDescent="0.2"/>
    <row r="784" s="32" customFormat="1" ht="12.75" x14ac:dyDescent="0.2"/>
    <row r="785" s="32" customFormat="1" ht="12.75" x14ac:dyDescent="0.2"/>
    <row r="786" s="32" customFormat="1" ht="12.75" x14ac:dyDescent="0.2"/>
    <row r="787" s="32" customFormat="1" ht="12.75" x14ac:dyDescent="0.2"/>
    <row r="788" s="32" customFormat="1" ht="12.75" x14ac:dyDescent="0.2"/>
    <row r="789" s="32" customFormat="1" ht="12.75" x14ac:dyDescent="0.2"/>
    <row r="790" s="32" customFormat="1" ht="12.75" x14ac:dyDescent="0.2"/>
    <row r="791" s="32" customFormat="1" ht="12.75" x14ac:dyDescent="0.2"/>
    <row r="792" s="32" customFormat="1" ht="12.75" x14ac:dyDescent="0.2"/>
    <row r="793" s="32" customFormat="1" ht="12.75" x14ac:dyDescent="0.2"/>
    <row r="794" s="32" customFormat="1" ht="12.75" x14ac:dyDescent="0.2"/>
    <row r="795" s="32" customFormat="1" ht="12.75" x14ac:dyDescent="0.2"/>
    <row r="796" s="32" customFormat="1" ht="12.75" x14ac:dyDescent="0.2"/>
    <row r="797" s="32" customFormat="1" ht="12.75" x14ac:dyDescent="0.2"/>
    <row r="798" s="32" customFormat="1" ht="12.75" x14ac:dyDescent="0.2"/>
    <row r="799" s="32" customFormat="1" ht="12.75" x14ac:dyDescent="0.2"/>
    <row r="800" s="32" customFormat="1" ht="12.75" x14ac:dyDescent="0.2"/>
    <row r="801" s="32" customFormat="1" ht="12.75" x14ac:dyDescent="0.2"/>
    <row r="802" s="32" customFormat="1" ht="12.75" x14ac:dyDescent="0.2"/>
    <row r="803" s="32" customFormat="1" ht="12.75" x14ac:dyDescent="0.2"/>
    <row r="804" s="32" customFormat="1" ht="12.75" x14ac:dyDescent="0.2"/>
    <row r="805" s="32" customFormat="1" ht="12.75" x14ac:dyDescent="0.2"/>
    <row r="806" s="32" customFormat="1" ht="12.75" x14ac:dyDescent="0.2"/>
    <row r="807" s="32" customFormat="1" ht="12.75" x14ac:dyDescent="0.2"/>
    <row r="808" s="32" customFormat="1" ht="12.75" x14ac:dyDescent="0.2"/>
    <row r="809" s="32" customFormat="1" ht="12.75" x14ac:dyDescent="0.2"/>
    <row r="810" s="32" customFormat="1" ht="12.75" x14ac:dyDescent="0.2"/>
    <row r="811" s="32" customFormat="1" ht="12.75" x14ac:dyDescent="0.2"/>
    <row r="812" s="32" customFormat="1" ht="12.75" x14ac:dyDescent="0.2"/>
    <row r="813" s="32" customFormat="1" ht="12.75" x14ac:dyDescent="0.2"/>
    <row r="814" s="32" customFormat="1" ht="12.75" x14ac:dyDescent="0.2"/>
    <row r="815" s="32" customFormat="1" ht="12.75" x14ac:dyDescent="0.2"/>
    <row r="816" s="32" customFormat="1" ht="12.75" x14ac:dyDescent="0.2"/>
    <row r="817" s="32" customFormat="1" ht="12.75" x14ac:dyDescent="0.2"/>
    <row r="818" s="32" customFormat="1" ht="12.75" x14ac:dyDescent="0.2"/>
    <row r="819" s="32" customFormat="1" ht="12.75" x14ac:dyDescent="0.2"/>
    <row r="820" s="32" customFormat="1" ht="12.75" x14ac:dyDescent="0.2"/>
    <row r="821" s="32" customFormat="1" ht="12.75" x14ac:dyDescent="0.2"/>
    <row r="822" s="32" customFormat="1" ht="12.75" x14ac:dyDescent="0.2"/>
    <row r="823" s="32" customFormat="1" ht="12.75" x14ac:dyDescent="0.2"/>
    <row r="824" s="32" customFormat="1" ht="12.75" x14ac:dyDescent="0.2"/>
    <row r="825" s="32" customFormat="1" ht="12.75" x14ac:dyDescent="0.2"/>
    <row r="826" s="32" customFormat="1" ht="12.75" x14ac:dyDescent="0.2"/>
    <row r="827" s="32" customFormat="1" ht="12.75" x14ac:dyDescent="0.2"/>
    <row r="828" s="32" customFormat="1" ht="12.75" x14ac:dyDescent="0.2"/>
    <row r="829" s="32" customFormat="1" ht="12.75" x14ac:dyDescent="0.2"/>
    <row r="830" s="32" customFormat="1" ht="12.75" x14ac:dyDescent="0.2"/>
    <row r="831" s="32" customFormat="1" ht="12.75" x14ac:dyDescent="0.2"/>
    <row r="832" s="32" customFormat="1" ht="12.75" x14ac:dyDescent="0.2"/>
    <row r="833" s="32" customFormat="1" ht="12.75" x14ac:dyDescent="0.2"/>
    <row r="834" s="32" customFormat="1" ht="12.75" x14ac:dyDescent="0.2"/>
    <row r="835" s="32" customFormat="1" ht="12.75" x14ac:dyDescent="0.2"/>
    <row r="836" s="32" customFormat="1" ht="12.75" x14ac:dyDescent="0.2"/>
    <row r="837" s="32" customFormat="1" ht="12.75" x14ac:dyDescent="0.2"/>
    <row r="838" s="32" customFormat="1" ht="12.75" x14ac:dyDescent="0.2"/>
    <row r="839" s="32" customFormat="1" ht="12.75" x14ac:dyDescent="0.2"/>
    <row r="840" s="32" customFormat="1" ht="12.75" x14ac:dyDescent="0.2"/>
    <row r="841" s="32" customFormat="1" ht="12.75" x14ac:dyDescent="0.2"/>
    <row r="842" s="32" customFormat="1" ht="12.75" x14ac:dyDescent="0.2"/>
    <row r="843" s="32" customFormat="1" ht="12.75" x14ac:dyDescent="0.2"/>
    <row r="844" s="32" customFormat="1" ht="12.75" x14ac:dyDescent="0.2"/>
    <row r="845" s="32" customFormat="1" ht="12.75" x14ac:dyDescent="0.2"/>
    <row r="846" s="32" customFormat="1" ht="12.75" x14ac:dyDescent="0.2"/>
    <row r="847" s="32" customFormat="1" ht="12.75" x14ac:dyDescent="0.2"/>
    <row r="848" s="32" customFormat="1" ht="12.75" x14ac:dyDescent="0.2"/>
    <row r="849" s="32" customFormat="1" ht="12.75" x14ac:dyDescent="0.2"/>
    <row r="850" s="32" customFormat="1" ht="12.75" x14ac:dyDescent="0.2"/>
    <row r="851" s="32" customFormat="1" ht="12.75" x14ac:dyDescent="0.2"/>
    <row r="852" s="32" customFormat="1" ht="12.75" x14ac:dyDescent="0.2"/>
    <row r="853" s="32" customFormat="1" ht="12.75" x14ac:dyDescent="0.2"/>
    <row r="854" s="32" customFormat="1" ht="12.75" x14ac:dyDescent="0.2"/>
    <row r="855" s="32" customFormat="1" ht="12.75" x14ac:dyDescent="0.2"/>
    <row r="856" s="32" customFormat="1" ht="12.75" x14ac:dyDescent="0.2"/>
    <row r="857" s="32" customFormat="1" ht="12.75" x14ac:dyDescent="0.2"/>
    <row r="858" s="32" customFormat="1" ht="12.75" x14ac:dyDescent="0.2"/>
    <row r="859" s="32" customFormat="1" ht="12.75" x14ac:dyDescent="0.2"/>
    <row r="860" s="32" customFormat="1" ht="12.75" x14ac:dyDescent="0.2"/>
    <row r="861" s="32" customFormat="1" ht="12.75" x14ac:dyDescent="0.2"/>
    <row r="862" s="32" customFormat="1" ht="12.75" x14ac:dyDescent="0.2"/>
    <row r="863" s="32" customFormat="1" ht="12.75" x14ac:dyDescent="0.2"/>
    <row r="864" s="32" customFormat="1" ht="12.75" x14ac:dyDescent="0.2"/>
    <row r="865" s="32" customFormat="1" ht="12.75" x14ac:dyDescent="0.2"/>
    <row r="866" s="32" customFormat="1" ht="12.75" x14ac:dyDescent="0.2"/>
    <row r="867" s="32" customFormat="1" ht="12.75" x14ac:dyDescent="0.2"/>
    <row r="868" s="32" customFormat="1" ht="12.75" x14ac:dyDescent="0.2"/>
    <row r="869" s="32" customFormat="1" ht="12.75" x14ac:dyDescent="0.2"/>
    <row r="870" s="32" customFormat="1" ht="12.75" x14ac:dyDescent="0.2"/>
    <row r="871" s="32" customFormat="1" ht="12.75" x14ac:dyDescent="0.2"/>
    <row r="872" s="32" customFormat="1" ht="12.75" x14ac:dyDescent="0.2"/>
    <row r="873" s="32" customFormat="1" ht="12.75" x14ac:dyDescent="0.2"/>
    <row r="874" s="32" customFormat="1" ht="12.75" x14ac:dyDescent="0.2"/>
    <row r="875" s="32" customFormat="1" ht="12.75" x14ac:dyDescent="0.2"/>
    <row r="876" s="32" customFormat="1" ht="12.75" x14ac:dyDescent="0.2"/>
    <row r="877" s="32" customFormat="1" ht="12.75" x14ac:dyDescent="0.2"/>
    <row r="878" s="32" customFormat="1" ht="12.75" x14ac:dyDescent="0.2"/>
    <row r="879" s="32" customFormat="1" ht="12.75" x14ac:dyDescent="0.2"/>
    <row r="880" s="32" customFormat="1" ht="12.75" x14ac:dyDescent="0.2"/>
    <row r="881" s="32" customFormat="1" ht="12.75" x14ac:dyDescent="0.2"/>
    <row r="882" s="32" customFormat="1" ht="12.75" x14ac:dyDescent="0.2"/>
    <row r="883" s="32" customFormat="1" ht="12.75" x14ac:dyDescent="0.2"/>
    <row r="884" s="32" customFormat="1" ht="12.75" x14ac:dyDescent="0.2"/>
    <row r="885" s="32" customFormat="1" ht="12.75" x14ac:dyDescent="0.2"/>
    <row r="886" s="32" customFormat="1" ht="12.75" x14ac:dyDescent="0.2"/>
    <row r="887" s="32" customFormat="1" ht="12.75" x14ac:dyDescent="0.2"/>
    <row r="888" s="32" customFormat="1" ht="12.75" x14ac:dyDescent="0.2"/>
    <row r="889" s="32" customFormat="1" ht="12.75" x14ac:dyDescent="0.2"/>
    <row r="890" s="32" customFormat="1" ht="12.75" x14ac:dyDescent="0.2"/>
    <row r="891" s="32" customFormat="1" ht="12.75" x14ac:dyDescent="0.2"/>
    <row r="892" s="32" customFormat="1" ht="12.75" x14ac:dyDescent="0.2"/>
    <row r="893" s="32" customFormat="1" ht="12.75" x14ac:dyDescent="0.2"/>
    <row r="894" s="32" customFormat="1" ht="12.75" x14ac:dyDescent="0.2"/>
    <row r="895" s="32" customFormat="1" ht="12.75" x14ac:dyDescent="0.2"/>
    <row r="896" s="32" customFormat="1" ht="12.75" x14ac:dyDescent="0.2"/>
    <row r="897" s="32" customFormat="1" ht="12.75" x14ac:dyDescent="0.2"/>
    <row r="898" s="32" customFormat="1" ht="12.75" x14ac:dyDescent="0.2"/>
    <row r="899" s="32" customFormat="1" ht="12.75" x14ac:dyDescent="0.2"/>
    <row r="900" s="32" customFormat="1" ht="12.75" x14ac:dyDescent="0.2"/>
    <row r="901" s="32" customFormat="1" ht="12.75" x14ac:dyDescent="0.2"/>
    <row r="902" s="32" customFormat="1" ht="12.75" x14ac:dyDescent="0.2"/>
    <row r="903" s="32" customFormat="1" ht="12.75" x14ac:dyDescent="0.2"/>
    <row r="904" s="32" customFormat="1" ht="12.75" x14ac:dyDescent="0.2"/>
    <row r="905" s="32" customFormat="1" ht="12.75" x14ac:dyDescent="0.2"/>
    <row r="906" s="32" customFormat="1" ht="12.75" x14ac:dyDescent="0.2"/>
    <row r="907" s="32" customFormat="1" ht="12.75" x14ac:dyDescent="0.2"/>
    <row r="908" s="32" customFormat="1" ht="12.75" x14ac:dyDescent="0.2"/>
    <row r="909" s="32" customFormat="1" ht="12.75" x14ac:dyDescent="0.2"/>
    <row r="910" s="32" customFormat="1" ht="12.75" x14ac:dyDescent="0.2"/>
    <row r="911" s="32" customFormat="1" ht="12.75" x14ac:dyDescent="0.2"/>
    <row r="912" s="32" customFormat="1" ht="12.75" x14ac:dyDescent="0.2"/>
    <row r="913" s="32" customFormat="1" ht="12.75" x14ac:dyDescent="0.2"/>
    <row r="914" s="32" customFormat="1" ht="12.75" x14ac:dyDescent="0.2"/>
    <row r="915" s="32" customFormat="1" ht="12.75" x14ac:dyDescent="0.2"/>
    <row r="916" s="32" customFormat="1" ht="12.75" x14ac:dyDescent="0.2"/>
    <row r="917" s="32" customFormat="1" ht="12.75" x14ac:dyDescent="0.2"/>
    <row r="918" s="32" customFormat="1" ht="12.75" x14ac:dyDescent="0.2"/>
    <row r="919" s="32" customFormat="1" ht="12.75" x14ac:dyDescent="0.2"/>
    <row r="920" s="32" customFormat="1" ht="12.75" x14ac:dyDescent="0.2"/>
  </sheetData>
  <mergeCells count="14">
    <mergeCell ref="J1:N1"/>
    <mergeCell ref="B2:H2"/>
    <mergeCell ref="K2:N2"/>
    <mergeCell ref="B3:D3"/>
    <mergeCell ref="E3:H4"/>
    <mergeCell ref="M3:N3"/>
    <mergeCell ref="B19:B22"/>
    <mergeCell ref="M4:N4"/>
    <mergeCell ref="B5:H5"/>
    <mergeCell ref="J5:N5"/>
    <mergeCell ref="I7:I22"/>
    <mergeCell ref="B7:B10"/>
    <mergeCell ref="B11:B12"/>
    <mergeCell ref="B14:B17"/>
  </mergeCells>
  <conditionalFormatting sqref="F7:F22">
    <cfRule type="expression" dxfId="321" priority="10">
      <formula>IF(E7="Not measured",E7)</formula>
    </cfRule>
  </conditionalFormatting>
  <conditionalFormatting sqref="J4:L4">
    <cfRule type="cellIs" dxfId="320" priority="9" operator="equal">
      <formula>0</formula>
    </cfRule>
  </conditionalFormatting>
  <conditionalFormatting sqref="L7:L22">
    <cfRule type="expression" dxfId="319" priority="1">
      <formula>IF(K7="Not measured",K7)</formula>
    </cfRule>
  </conditionalFormatting>
  <pageMargins left="0.31496062992125984" right="0.11811023622047245" top="0.39370078740157483" bottom="0.19685039370078741" header="0.19685039370078741" footer="0.11811023622047245"/>
  <pageSetup paperSize="9" scale="32" fitToHeight="0" orientation="portrait" r:id="rId1"/>
  <headerFooter>
    <oddHeader>&amp;L&amp;F&amp;R&amp;D</oddHeader>
    <oddFooter>&amp;C&amp;K02-008ScorecardVersion 2019&amp;R&amp;K01+045&amp;P                &amp;K00+000.</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Please select from one of the drop down options." xr:uid="{F3C4A136-F307-454A-9BDB-D2732EE9B83D}">
          <x14:formula1>
            <xm:f>Calculation!$AX$3:$AX$6</xm:f>
          </x14:formula1>
          <xm:sqref>H7:H22</xm:sqref>
        </x14:dataValidation>
        <x14:dataValidation type="list" allowBlank="1" showInputMessage="1" showErrorMessage="1" prompt="Please select from one of the drop down options." xr:uid="{43257730-0F6A-44EA-BD4B-3CDCDA87CC8F}">
          <x14:formula1>
            <xm:f>Calculation!$AG$3:$AG$11</xm:f>
          </x14:formula1>
          <xm:sqref>F7:F22</xm:sqref>
        </x14:dataValidation>
        <x14:dataValidation type="list" allowBlank="1" showInputMessage="1" showErrorMessage="1" xr:uid="{4E9C8025-9EDA-408A-B055-59A5C406F565}">
          <x14:formula1>
            <xm:f>Calculation!$AL$3:$AL$11</xm:f>
          </x14:formula1>
          <xm:sqref>E7:E22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ED9B4-9646-4F4D-B065-0079358070C8}">
  <sheetPr codeName="Ark5">
    <tabColor theme="3" tint="0.59999389629810485"/>
    <pageSetUpPr fitToPage="1"/>
  </sheetPr>
  <dimension ref="A1:O918"/>
  <sheetViews>
    <sheetView showGridLines="0" zoomScale="80" zoomScaleNormal="80" workbookViewId="0">
      <pane xSplit="4" topLeftCell="E1" activePane="topRight" state="frozen"/>
      <selection activeCell="A5" sqref="A5"/>
      <selection pane="topRight" activeCell="B2" sqref="B2:H2"/>
    </sheetView>
  </sheetViews>
  <sheetFormatPr defaultColWidth="11.42578125" defaultRowHeight="26.25" x14ac:dyDescent="0.25"/>
  <cols>
    <col min="1" max="1" width="2.85546875" style="51" customWidth="1"/>
    <col min="2" max="2" width="20.7109375" style="52" customWidth="1"/>
    <col min="3" max="3" width="5.7109375" style="52" customWidth="1"/>
    <col min="4" max="4" width="20.7109375" style="52" customWidth="1"/>
    <col min="5" max="5" width="13.140625" style="32" customWidth="1"/>
    <col min="6" max="6" width="15.7109375" style="32" customWidth="1"/>
    <col min="7" max="7" width="50.7109375" style="32" customWidth="1"/>
    <col min="8" max="8" width="20.7109375" style="32" customWidth="1"/>
    <col min="9" max="9" width="2.42578125" customWidth="1"/>
    <col min="10" max="14" width="30.7109375" style="32" customWidth="1"/>
    <col min="15" max="15" width="2.5703125" style="32" customWidth="1"/>
    <col min="16" max="16384" width="11.42578125" style="32"/>
  </cols>
  <sheetData>
    <row r="1" spans="1:15" ht="13.5" customHeight="1" thickBot="1" x14ac:dyDescent="0.45">
      <c r="A1" s="250" t="s">
        <v>6</v>
      </c>
      <c r="B1" s="250"/>
      <c r="C1" s="250"/>
      <c r="D1" s="250"/>
      <c r="E1" s="250"/>
      <c r="F1" s="250"/>
      <c r="G1" s="250"/>
      <c r="H1" s="250"/>
      <c r="I1" s="246"/>
      <c r="J1" s="490"/>
      <c r="K1" s="490"/>
      <c r="L1" s="490"/>
      <c r="M1" s="490"/>
      <c r="N1" s="490"/>
      <c r="O1" s="244"/>
    </row>
    <row r="2" spans="1:15" ht="84.95" customHeight="1" thickTop="1" thickBot="1" x14ac:dyDescent="0.3">
      <c r="A2" s="250"/>
      <c r="B2" s="502" t="str">
        <f>VLOOKUP("Assessment of the enabling environment",Labels!$A$1:$C$1002,IF(LanguageSelection="FR",3,2),FALSE)</f>
        <v>Assessment of the enabling environment</v>
      </c>
      <c r="C2" s="503"/>
      <c r="D2" s="503"/>
      <c r="E2" s="504"/>
      <c r="F2" s="504"/>
      <c r="G2" s="504"/>
      <c r="H2" s="505"/>
      <c r="I2" s="246"/>
      <c r="J2" s="267" t="str">
        <f>VLOOKUP("Guide",Labels!$A$1:$C$1001,IF(LanguageSelection="FR",3,2),FALSE)</f>
        <v>Guide</v>
      </c>
      <c r="K2" s="496" t="str">
        <f>VLOOKUP("Enabling environment Guide",Labels!$A$1:$C$1001,IF(LanguageSelection="FR",3,2),FALSE)</f>
        <v>For each variable:
1) Select the market phase that best describes the situation (see benchmarks below)
2) Indicate the trend during the last two years
3) Provide an explanation for the scoring
4) Select the main type of data source used to assess the variable
When complete, provide a short description of the overall picture of the enabling environment</v>
      </c>
      <c r="L2" s="497"/>
      <c r="M2" s="497"/>
      <c r="N2" s="498"/>
      <c r="O2" s="244"/>
    </row>
    <row r="3" spans="1:15" ht="68.45" customHeight="1" thickTop="1" thickBot="1" x14ac:dyDescent="0.3">
      <c r="A3" s="250"/>
      <c r="B3" s="499" t="str">
        <f>_xlfn.CONCAT(VLOOKUP("Observations on the enabling environment",Labels!$A$1:$C$1002,IF(LanguageSelection="FR",3,2),FALSE),CHAR(10),"(",VLOOKUP("Describe the overall picture",Labels!$A$1:$C$1002,IF(LanguageSelection="FR",3,2),FALSE),")")</f>
        <v>Observations on the enabling environment
(Describe the overall picture)</v>
      </c>
      <c r="C3" s="500"/>
      <c r="D3" s="501"/>
      <c r="E3" s="506"/>
      <c r="F3" s="507"/>
      <c r="G3" s="507"/>
      <c r="H3" s="507"/>
      <c r="I3" s="246"/>
      <c r="J3" s="60" t="str">
        <f>VLOOKUP("Country",Labels!$A$1:$C$3,IF(LanguageSelection="FR",3,2),FALSE)</f>
        <v>Country</v>
      </c>
      <c r="K3" s="60" t="str">
        <f>VLOOKUP("Year",Labels!$A$1:$C$1001,IF(LanguageSelection="FR",3,2),FALSE)</f>
        <v>Year</v>
      </c>
      <c r="L3" s="62" t="str">
        <f>VLOOKUP("Technology",Labels!$A$1:$C$1001,IF(LanguageSelection="FR",3,2),FALSE)</f>
        <v>Technology</v>
      </c>
      <c r="M3" s="492" t="str">
        <f>VLOOKUP("Boundaries",Labels!$A$1:$C$1001,IF(LanguageSelection="FR",3,2),FALSE)</f>
        <v>Boundaries</v>
      </c>
      <c r="N3" s="492"/>
      <c r="O3" s="246"/>
    </row>
    <row r="4" spans="1:15" s="38" customFormat="1" ht="50.1" customHeight="1" thickTop="1" thickBot="1" x14ac:dyDescent="0.3">
      <c r="A4" s="251"/>
      <c r="B4" s="307" t="str">
        <f>_xlfn.CONCAT("☞ ",VLOOKUP("Please fill out all the blue cells",Labels!$A$1:$C$1001,IF(LanguageSelection="FR",3,2),FALSE),")")</f>
        <v>☞ Please fill out all the blue cells)</v>
      </c>
      <c r="C4" s="293"/>
      <c r="D4" s="268"/>
      <c r="E4" s="508"/>
      <c r="F4" s="509"/>
      <c r="G4" s="509"/>
      <c r="H4" s="509"/>
      <c r="I4" s="246"/>
      <c r="J4" s="283">
        <f>Country</f>
        <v>0</v>
      </c>
      <c r="K4" s="284">
        <f>Year</f>
        <v>2024</v>
      </c>
      <c r="L4" s="275" t="str">
        <f>Technology</f>
        <v>Other</v>
      </c>
      <c r="M4" s="510" t="str">
        <f>_xlfn.CONCAT(VLOOKUP("Geography",Labels!$A$1:$C$1001,IF(LanguageSelection="FR",3,2),FALSE),": ",Geographical_boundaries,CHAR(10),VLOOKUP("Technology",Labels!$A$1:$C$1001,IF(LanguageSelection="FR",3,2),FALSE),": ",Technological_boundaries,CHAR(10),VLOOKUP("Target group",Labels!$A$1:$C$1001,IF(LanguageSelection="FR",3,2),FALSE),": ",Target_group_boundaries)</f>
        <v xml:space="preserve">Geography: 
Technology: 
Target group: </v>
      </c>
      <c r="N4" s="511"/>
      <c r="O4" s="251"/>
    </row>
    <row r="5" spans="1:15" ht="27.75" thickTop="1" thickBot="1" x14ac:dyDescent="0.25">
      <c r="A5" s="252"/>
      <c r="B5" s="493" t="str">
        <f>VLOOKUP("Energy Market Scores",Labels!$A$1:$C$1001,IF(LanguageSelection="FR",3,2),FALSE)</f>
        <v>Energy Market Scores</v>
      </c>
      <c r="C5" s="493"/>
      <c r="D5" s="493"/>
      <c r="E5" s="491"/>
      <c r="F5" s="491"/>
      <c r="G5" s="491"/>
      <c r="H5" s="491"/>
      <c r="I5" s="252"/>
      <c r="J5" s="491" t="str">
        <f>VLOOKUP("Scoring benchmarks",Labels!$A$1:$C$1001,IF(LanguageSelection="FR",3,2),FALSE)</f>
        <v>Scoring benchmarks</v>
      </c>
      <c r="K5" s="491"/>
      <c r="L5" s="491"/>
      <c r="M5" s="491"/>
      <c r="N5" s="491"/>
      <c r="O5" s="244"/>
    </row>
    <row r="6" spans="1:15" s="38" customFormat="1" ht="76.150000000000006" customHeight="1" thickTop="1" thickBot="1" x14ac:dyDescent="0.3">
      <c r="A6" s="253"/>
      <c r="B6" s="50" t="str">
        <f>VLOOKUP("Indicator",Labels!$A$1:$C$1001,IF(LanguageSelection="FR",3,2),FALSE)</f>
        <v>Indicator</v>
      </c>
      <c r="C6" s="50"/>
      <c r="D6" s="50" t="str">
        <f>VLOOKUP("Variable",Labels!$A$1:$C$1001,IF(LanguageSelection="FR",3,2),FALSE)</f>
        <v>Variable</v>
      </c>
      <c r="E6" s="59" t="str">
        <f>_xlfn.CONCAT(VLOOKUP("Market Phase",Labels!$A$1:$C$1001,IF(LanguageSelection="FR",3,2),FALSE),CHAR(10),"(",VLOOKUP("Drop-down list",Labels!$A$1:$C$1001,IF(LanguageSelection="FR",3,2),FALSE),")")</f>
        <v>Market Phase
(Drop-down list)</v>
      </c>
      <c r="F6" s="59" t="str">
        <f>_xlfn.CONCAT(VLOOKUP("Trend",Labels!$A$1:$C$1001,IF(LanguageSelection="FR",3,2),FALSE),CHAR(10),"(",VLOOKUP("Drop-down list",Labels!$A$1:$C$1001,IF(LanguageSelection="FR",3,2),FALSE),")")</f>
        <v>Trend
(Drop-down list)</v>
      </c>
      <c r="G6" s="59" t="str">
        <f>_xlfn.CONCAT(VLOOKUP("Explanation",Labels!$A$1:$C$1001,IF(LanguageSelection="FR",3,2),FALSE),CHAR(10),"(",VLOOKUP("Please provide a short explanation, max. 60 words",Labels!$A$1:$C$1001,IF(LanguageSelection="FR",3,2),FALSE),")")</f>
        <v>Explanation
(Please provide a short explanation, max. 60 words)</v>
      </c>
      <c r="H6" s="59" t="str">
        <f>_xlfn.CONCAT(VLOOKUP("Data Source",Labels!$A$1:$C$1001,IF(LanguageSelection="FR",3,2),FALSE),CHAR(10),"(",VLOOKUP("Drop-down list",Labels!$A$1:$C$1001,IF(LanguageSelection="FR",3,2),FALSE),")")</f>
        <v>Data Source
(Drop-down list)</v>
      </c>
      <c r="I6" s="255"/>
      <c r="J6" s="50" t="str">
        <f>VLOOKUP("Description",Labels!$A$1:$C$1001,IF(LanguageSelection="FR",3,2),FALSE)</f>
        <v>Description</v>
      </c>
      <c r="K6" s="34" t="s">
        <v>7</v>
      </c>
      <c r="L6" s="35" t="s">
        <v>8</v>
      </c>
      <c r="M6" s="36" t="s">
        <v>9</v>
      </c>
      <c r="N6" s="37" t="s">
        <v>10</v>
      </c>
      <c r="O6" s="251"/>
    </row>
    <row r="7" spans="1:15" ht="80.099999999999994" customHeight="1" thickTop="1" thickBot="1" x14ac:dyDescent="0.25">
      <c r="A7" s="257"/>
      <c r="B7" s="513" t="str">
        <f>VLOOKUP("e1",Labels!$A$1:$C$1001,IF(LanguageSelection="FR",3,2),FALSE)</f>
        <v>E1
Policy</v>
      </c>
      <c r="C7" s="49" t="s">
        <v>46</v>
      </c>
      <c r="D7" s="262" t="str">
        <f>'EAMD Scorecard'!D48</f>
        <v>National plans</v>
      </c>
      <c r="E7" s="33"/>
      <c r="F7" s="33"/>
      <c r="G7" s="259"/>
      <c r="H7" s="258"/>
      <c r="I7" s="495"/>
      <c r="J7" s="262" t="str">
        <f>VLOOKUP($C7,Benchmarks!$D$6:$DB$48,2+VLOOKUP($L$4,Calculation!$AV$3:$AW$12,2,FALSE)+IF(LanguageSelection="FR",51,0),FALSE)</f>
        <v>Targets and scope of energy access national/ regional programmes/ plans and milestones.</v>
      </c>
      <c r="K7" s="263" t="str">
        <f>VLOOKUP($C7,Benchmarks!$D$6:$DB$48,2+VLOOKUP($L$4,Calculation!$AV$3:$AW$12,2,FALSE)+_no_of_techs+IF(LanguageSelection="FR",51,0),FALSE)</f>
        <v>National targets are non-existent.</v>
      </c>
      <c r="L7" s="264" t="str">
        <f>VLOOKUP($C7,Benchmarks!$D$6:$DB$48,2+VLOOKUP($L$4,Calculation!$AV$3:$AW$12,2,FALSE)+_no_of_techs*2+IF(LanguageSelection="FR",51,0),FALSE)</f>
        <v>National targets are planned but not yet finally adopted.</v>
      </c>
      <c r="M7" s="265" t="str">
        <f>VLOOKUP($C7,Benchmarks!$D$6:$DB$48,2+VLOOKUP($L$4,Calculation!$AV$3:$AW$12,2,FALSE)+_no_of_techs*3+IF(LanguageSelection="FR",51,0),FALSE)</f>
        <v>National targets are in place and adopted and, to some extent, monitored.</v>
      </c>
      <c r="N7" s="266" t="str">
        <f>VLOOKUP($C7,Benchmarks!$D$6:$DB$48,2+VLOOKUP($L$4,Calculation!$AV$3:$AW$12,2,FALSE)+_no_of_techs*4+IF(LanguageSelection="FR",51,0),FALSE)</f>
        <v>National targets are effectively monitored and play a role for policy development and dialogue.</v>
      </c>
      <c r="O7" s="244"/>
    </row>
    <row r="8" spans="1:15" ht="80.099999999999994" customHeight="1" thickTop="1" thickBot="1" x14ac:dyDescent="0.25">
      <c r="A8" s="257"/>
      <c r="B8" s="514"/>
      <c r="C8" s="49" t="s">
        <v>47</v>
      </c>
      <c r="D8" s="262" t="str">
        <f>'EAMD Scorecard'!D49</f>
        <v>Policy</v>
      </c>
      <c r="E8" s="33"/>
      <c r="F8" s="33"/>
      <c r="G8" s="260"/>
      <c r="H8" s="258"/>
      <c r="I8" s="495"/>
      <c r="J8" s="262" t="str">
        <f>VLOOKUP($C8,Benchmarks!$D$6:$DB$48,2+VLOOKUP($L$4,Calculation!$AV$3:$AW$12,2,FALSE)+IF(LanguageSelection="FR",51,0),FALSE)</f>
        <v>Number of existing policies and programmes fostering energy access technologies.</v>
      </c>
      <c r="K8" s="263" t="str">
        <f>VLOOKUP($C8,Benchmarks!$D$6:$DB$48,2+VLOOKUP($L$4,Calculation!$AV$3:$AW$12,2,FALSE)+_no_of_techs+IF(LanguageSelection="FR",51,0),FALSE)</f>
        <v>No existing policies for energy access technologies</v>
      </c>
      <c r="L8" s="264" t="str">
        <f>VLOOKUP($C8,Benchmarks!$D$6:$DB$48,2+VLOOKUP($L$4,Calculation!$AV$3:$AW$12,2,FALSE)+_no_of_techs*2+IF(LanguageSelection="FR",51,0),FALSE)</f>
        <v>Policies are planned and/or in the process to be adopted.</v>
      </c>
      <c r="M8" s="265" t="str">
        <f>VLOOKUP($C8,Benchmarks!$D$6:$DB$48,2+VLOOKUP($L$4,Calculation!$AV$3:$AW$12,2,FALSE)+_no_of_techs*3+IF(LanguageSelection="FR",51,0),FALSE)</f>
        <v xml:space="preserve">Effective policies are implemented. </v>
      </c>
      <c r="N8" s="266" t="str">
        <f>VLOOKUP($C8,Benchmarks!$D$6:$DB$48,2+VLOOKUP($L$4,Calculation!$AV$3:$AW$12,2,FALSE)+_no_of_techs*4+IF(LanguageSelection="FR",51,0),FALSE)</f>
        <v>Policies are consolidated and enforced as intended.</v>
      </c>
      <c r="O8" s="244"/>
    </row>
    <row r="9" spans="1:15" ht="80.099999999999994" customHeight="1" thickTop="1" thickBot="1" x14ac:dyDescent="0.25">
      <c r="A9" s="257"/>
      <c r="B9" s="514"/>
      <c r="C9" s="49" t="s">
        <v>48</v>
      </c>
      <c r="D9" s="262" t="str">
        <f>'EAMD Scorecard'!D50</f>
        <v>Product taxes</v>
      </c>
      <c r="E9" s="33"/>
      <c r="F9" s="33"/>
      <c r="G9" s="260"/>
      <c r="H9" s="258"/>
      <c r="I9" s="495"/>
      <c r="J9" s="262" t="str">
        <f>VLOOKUP($C9,Benchmarks!$D$6:$DB$48,2+VLOOKUP($L$4,Calculation!$AV$3:$AW$12,2,FALSE)+IF(LanguageSelection="FR",51,0),FALSE)</f>
        <v>Tax reliefs and tax benefits on product taxes (e.g. on import duties, tariffs, VAT).</v>
      </c>
      <c r="K9" s="263" t="str">
        <f>VLOOKUP($C9,Benchmarks!$D$6:$DB$48,2+VLOOKUP($L$4,Calculation!$AV$3:$AW$12,2,FALSE)+_no_of_techs+IF(LanguageSelection="FR",51,0),FALSE)</f>
        <v xml:space="preserve">No special tax relief for energy access technologies </v>
      </c>
      <c r="L9" s="264" t="str">
        <f>VLOOKUP($C9,Benchmarks!$D$6:$DB$48,2+VLOOKUP($L$4,Calculation!$AV$3:$AW$12,2,FALSE)+_no_of_techs*2+IF(LanguageSelection="FR",51,0),FALSE)</f>
        <v>Tax relief is planned and possibly adopted but hardly has an effect on the market yet.</v>
      </c>
      <c r="M9" s="265" t="str">
        <f>VLOOKUP($C9,Benchmarks!$D$6:$DB$48,2+VLOOKUP($L$4,Calculation!$AV$3:$AW$12,2,FALSE)+_no_of_techs*3+IF(LanguageSelection="FR",51,0),FALSE)</f>
        <v>Tax reliefs and/or benefits related to energy access technologies drive market growth.</v>
      </c>
      <c r="N9" s="266" t="str">
        <f>VLOOKUP($C9,Benchmarks!$D$6:$DB$48,2+VLOOKUP($L$4,Calculation!$AV$3:$AW$12,2,FALSE)+_no_of_techs*4+IF(LanguageSelection="FR",51,0),FALSE)</f>
        <v>Tax benefits expanded or retracted, depending on self-sustaining character of the market</v>
      </c>
      <c r="O9" s="244"/>
    </row>
    <row r="10" spans="1:15" ht="80.099999999999994" customHeight="1" thickTop="1" thickBot="1" x14ac:dyDescent="0.25">
      <c r="A10" s="257"/>
      <c r="B10" s="513" t="str">
        <f>VLOOKUP("e2",Labels!$A$1:$C$1001,IF(LanguageSelection="FR",3,2),FALSE)</f>
        <v>E2
Access to finance</v>
      </c>
      <c r="C10" s="49" t="s">
        <v>49</v>
      </c>
      <c r="D10" s="262" t="str">
        <f>'EAMD Scorecard'!D52</f>
        <v>Subsidies</v>
      </c>
      <c r="E10" s="33"/>
      <c r="F10" s="33"/>
      <c r="G10" s="260"/>
      <c r="H10" s="258"/>
      <c r="I10" s="495"/>
      <c r="J10" s="262" t="str">
        <f>VLOOKUP($C10,Benchmarks!$D$6:$DB$48,2+VLOOKUP($L$4,Calculation!$AV$3:$AW$12,2,FALSE)+IF(LanguageSelection="FR",51,0),FALSE)</f>
        <v>Extent and type of subsidies.</v>
      </c>
      <c r="K10" s="263" t="str">
        <f>VLOOKUP($C10,Benchmarks!$D$6:$DB$48,2+VLOOKUP($L$4,Calculation!$AV$3:$AW$12,2,FALSE)+_no_of_techs+IF(LanguageSelection="FR",51,0),FALSE)</f>
        <v>Partial or full direct subsidies on the demand side are high in order to “introduce” the technology. Highly donor-based; over 50% of consumer price.</v>
      </c>
      <c r="L10" s="264" t="str">
        <f>VLOOKUP($C10,Benchmarks!$D$6:$DB$48,2+VLOOKUP($L$4,Calculation!$AV$3:$AW$12,2,FALSE)+_no_of_techs*2+IF(LanguageSelection="FR",51,0),FALSE)</f>
        <v>First financing mechanisms (including subsidies) emerge/are tested (pilots) – usually donor-driven, but below 50% of consumer price.</v>
      </c>
      <c r="M10" s="265" t="str">
        <f>VLOOKUP($C10,Benchmarks!$D$6:$DB$48,2+VLOOKUP($L$4,Calculation!$AV$3:$AW$12,2,FALSE)+_no_of_techs*3+IF(LanguageSelection="FR",51,0),FALSE)</f>
        <v>Donor driven subsidies are retracted (20-0% of consumer price) or scheduled to be phased out or really targeted at the poor.</v>
      </c>
      <c r="N10" s="266" t="str">
        <f>VLOOKUP($C10,Benchmarks!$D$6:$DB$48,2+VLOOKUP($L$4,Calculation!$AV$3:$AW$12,2,FALSE)+_no_of_techs*4+IF(LanguageSelection="FR",51,0),FALSE)</f>
        <v>There are no consumer or supplier subsidies in place beacuse of the well-developped state of the market.</v>
      </c>
      <c r="O10" s="244"/>
    </row>
    <row r="11" spans="1:15" ht="80.099999999999994" customHeight="1" thickTop="1" thickBot="1" x14ac:dyDescent="0.25">
      <c r="A11" s="257"/>
      <c r="B11" s="514"/>
      <c r="C11" s="49" t="s">
        <v>50</v>
      </c>
      <c r="D11" s="262" t="str">
        <f>'EAMD Scorecard'!D53</f>
        <v>Financing options and investments by suppliers</v>
      </c>
      <c r="E11" s="33"/>
      <c r="F11" s="33"/>
      <c r="G11" s="260"/>
      <c r="H11" s="258"/>
      <c r="I11" s="495"/>
      <c r="J11" s="262" t="str">
        <f>VLOOKUP($C11,Benchmarks!$D$6:$DB$48,2+VLOOKUP($L$4,Calculation!$AV$3:$AW$12,2,FALSE)+IF(LanguageSelection="FR",51,0),FALSE)</f>
        <v>Number and type of financing options for suppliers.</v>
      </c>
      <c r="K11" s="263" t="str">
        <f>VLOOKUP($C11,Benchmarks!$D$6:$DB$48,2+VLOOKUP($L$4,Calculation!$AV$3:$AW$12,2,FALSE)+_no_of_techs+IF(LanguageSelection="FR",51,0),FALSE)</f>
        <v>Financing options available only through donors. Low investments due to financial constraints.</v>
      </c>
      <c r="L11" s="264" t="str">
        <f>VLOOKUP($C11,Benchmarks!$D$6:$DB$48,2+VLOOKUP($L$4,Calculation!$AV$3:$AW$12,2,FALSE)+_no_of_techs*2+IF(LanguageSelection="FR",51,0),FALSE)</f>
        <v xml:space="preserve">Most local financial institutions are still reluctant to offer financing. Only donors offer funding. Financial constrains inhibits private investment. </v>
      </c>
      <c r="M11" s="265" t="str">
        <f>VLOOKUP($C11,Benchmarks!$D$6:$DB$48,2+VLOOKUP($L$4,Calculation!$AV$3:$AW$12,2,FALSE)+_no_of_techs*3+IF(LanguageSelection="FR",51,0),FALSE)</f>
        <v xml:space="preserve">Financing options for businesses are available as products/services are recognized as profitable by local financial institutions. </v>
      </c>
      <c r="N11" s="266" t="str">
        <f>VLOOKUP($C11,Benchmarks!$D$6:$DB$48,2+VLOOKUP($L$4,Calculation!$AV$3:$AW$12,2,FALSE)+_no_of_techs*4+IF(LanguageSelection="FR",51,0),FALSE)</f>
        <v>Financial institutions offer good terms and conditions for businesses. Businesses are less limited by financial constraints.</v>
      </c>
      <c r="O11" s="244"/>
    </row>
    <row r="12" spans="1:15" ht="80.099999999999994" customHeight="1" thickTop="1" thickBot="1" x14ac:dyDescent="0.25">
      <c r="A12" s="257"/>
      <c r="B12" s="515"/>
      <c r="C12" s="49" t="s">
        <v>51</v>
      </c>
      <c r="D12" s="262" t="str">
        <f>'EAMD Scorecard'!D54</f>
        <v>Financing options for consumers</v>
      </c>
      <c r="E12" s="33"/>
      <c r="F12" s="33"/>
      <c r="G12" s="260"/>
      <c r="H12" s="258"/>
      <c r="I12" s="495"/>
      <c r="J12" s="262" t="str">
        <f>VLOOKUP($C12,Benchmarks!$D$6:$DB$48,2+VLOOKUP($L$4,Calculation!$AV$3:$AW$12,2,FALSE)+IF(LanguageSelection="FR",51,0),FALSE)</f>
        <v>Number and type of financing options for end users.</v>
      </c>
      <c r="K12" s="263" t="str">
        <f>VLOOKUP($C12,Benchmarks!$D$6:$DB$48,2+VLOOKUP($L$4,Calculation!$AV$3:$AW$12,2,FALSE)+_no_of_techs+IF(LanguageSelection="FR",51,0),FALSE)</f>
        <v>Neither businesses nor financial institutions offer financing mechanisms for end users.</v>
      </c>
      <c r="L12" s="264" t="str">
        <f>VLOOKUP($C12,Benchmarks!$D$6:$DB$48,2+VLOOKUP($L$4,Calculation!$AV$3:$AW$12,2,FALSE)+_no_of_techs*2+IF(LanguageSelection="FR",51,0),FALSE)</f>
        <v>Businesses start developing consumer financing mechanisms (PAYGO, micro-loans). Financial institutions begin to offer consumer financing.</v>
      </c>
      <c r="M12" s="265" t="str">
        <f>VLOOKUP($C12,Benchmarks!$D$6:$DB$48,2+VLOOKUP($L$4,Calculation!$AV$3:$AW$12,2,FALSE)+_no_of_techs*3+IF(LanguageSelection="FR",51,0),FALSE)</f>
        <v>Businesses established financing mechanisms for their customers. 
Financial institutions offer financing options for end users.</v>
      </c>
      <c r="N12" s="266" t="str">
        <f>VLOOKUP($C12,Benchmarks!$D$6:$DB$48,2+VLOOKUP($L$4,Calculation!$AV$3:$AW$12,2,FALSE)+_no_of_techs*4+IF(LanguageSelection="FR",51,0),FALSE)</f>
        <v>Businesses and financial institutions offer a great variety of financing mechanisms targeting different customer segments.</v>
      </c>
      <c r="O12" s="244"/>
    </row>
    <row r="13" spans="1:15" ht="80.099999999999994" customHeight="1" thickTop="1" thickBot="1" x14ac:dyDescent="0.25">
      <c r="A13" s="257"/>
      <c r="B13" s="513" t="str">
        <f>VLOOKUP("e3",Labels!$A$1:$C$1001,IF(LanguageSelection="FR",3,2),FALSE)</f>
        <v>E3
Quality regulations, norms and standards</v>
      </c>
      <c r="C13" s="49" t="s">
        <v>52</v>
      </c>
      <c r="D13" s="262" t="str">
        <f>'EAMD Scorecard'!D55</f>
        <v>Regulation, Norms and standards</v>
      </c>
      <c r="E13" s="33"/>
      <c r="F13" s="33"/>
      <c r="G13" s="260"/>
      <c r="H13" s="258"/>
      <c r="I13" s="495"/>
      <c r="J13" s="262" t="str">
        <f>VLOOKUP($C13,Benchmarks!$D$6:$DB$48,2+VLOOKUP($L$4,Calculation!$AV$3:$AW$12,2,FALSE)+IF(LanguageSelection="FR",51,0),FALSE)</f>
        <v>The existence of regulations, norms, labels and standards for the quality of products/ services.</v>
      </c>
      <c r="K13" s="263" t="str">
        <f>VLOOKUP($C13,Benchmarks!$D$6:$DB$48,2+VLOOKUP($L$4,Calculation!$AV$3:$AW$12,2,FALSE)+_no_of_techs+IF(LanguageSelection="FR",51,0),FALSE)</f>
        <v>No quality codes and standards that set a baseline level of quality, durability, and truth-in-advertising</v>
      </c>
      <c r="L13" s="264" t="str">
        <f>VLOOKUP($C13,Benchmarks!$D$6:$DB$48,2+VLOOKUP($L$4,Calculation!$AV$3:$AW$12,2,FALSE)+_no_of_techs*2+IF(LanguageSelection="FR",51,0),FALSE)</f>
        <v>Regulators start working on or consider appropriate codes and standards.</v>
      </c>
      <c r="M13" s="265" t="str">
        <f>VLOOKUP($C13,Benchmarks!$D$6:$DB$48,2+VLOOKUP($L$4,Calculation!$AV$3:$AW$12,2,FALSE)+_no_of_techs*3+IF(LanguageSelection="FR",51,0),FALSE)</f>
        <v>Regulators adopt national or international codes and standards.</v>
      </c>
      <c r="N13" s="266" t="str">
        <f>VLOOKUP($C13,Benchmarks!$D$6:$DB$48,2+VLOOKUP($L$4,Calculation!$AV$3:$AW$12,2,FALSE)+_no_of_techs*4+IF(LanguageSelection="FR",51,0),FALSE)</f>
        <v>Suppliers are bound to quality codes and standards.</v>
      </c>
      <c r="O13" s="244"/>
    </row>
    <row r="14" spans="1:15" ht="80.099999999999994" customHeight="1" thickTop="1" thickBot="1" x14ac:dyDescent="0.25">
      <c r="A14" s="257"/>
      <c r="B14" s="515"/>
      <c r="C14" s="49" t="s">
        <v>53</v>
      </c>
      <c r="D14" s="262" t="str">
        <f>'EAMD Scorecard'!D56</f>
        <v>Enforcement</v>
      </c>
      <c r="E14" s="33"/>
      <c r="F14" s="33"/>
      <c r="G14" s="260"/>
      <c r="H14" s="258"/>
      <c r="I14" s="495"/>
      <c r="J14" s="262" t="str">
        <f>VLOOKUP($C14,Benchmarks!$D$6:$DB$48,2+VLOOKUP($L$4,Calculation!$AV$3:$AW$12,2,FALSE)+IF(LanguageSelection="FR",51,0),FALSE)</f>
        <v>The extent to which suppliers comply with quality regulations.</v>
      </c>
      <c r="K14" s="263" t="str">
        <f>VLOOKUP($C14,Benchmarks!$D$6:$DB$48,2+VLOOKUP($L$4,Calculation!$AV$3:$AW$12,2,FALSE)+_no_of_techs+IF(LanguageSelection="FR",51,0),FALSE)</f>
        <v>No enforcement of regulation, norms, and standrads is yet in place.</v>
      </c>
      <c r="L14" s="264" t="str">
        <f>VLOOKUP($C14,Benchmarks!$D$6:$DB$48,2+VLOOKUP($L$4,Calculation!$AV$3:$AW$12,2,FALSE)+_no_of_techs*2+IF(LanguageSelection="FR",51,0),FALSE)</f>
        <v>Enforcement is not yet effective, however, some suppliers comply (wholly or partially) with voluntary and/or international standards.</v>
      </c>
      <c r="M14" s="265" t="str">
        <f>VLOOKUP($C14,Benchmarks!$D$6:$DB$48,2+VLOOKUP($L$4,Calculation!$AV$3:$AW$12,2,FALSE)+_no_of_techs*3+IF(LanguageSelection="FR",51,0),FALSE)</f>
        <v>Enforcement/compliance is partially effective, however, unorganized and incomplete.</v>
      </c>
      <c r="N14" s="266" t="str">
        <f>VLOOKUP($C14,Benchmarks!$D$6:$DB$48,2+VLOOKUP($L$4,Calculation!$AV$3:$AW$12,2,FALSE)+_no_of_techs*4+IF(LanguageSelection="FR",51,0),FALSE)</f>
        <v>Enforcement/compliance is working well.</v>
      </c>
      <c r="O14" s="244"/>
    </row>
    <row r="15" spans="1:15" ht="80.099999999999994" customHeight="1" thickTop="1" thickBot="1" x14ac:dyDescent="0.25">
      <c r="A15" s="257"/>
      <c r="B15" s="513" t="str">
        <f>VLOOKUP("e4",Labels!$A$1:$C$1001,IF(LanguageSelection="FR",3,2),FALSE)</f>
        <v>E4
Market information</v>
      </c>
      <c r="C15" s="49" t="s">
        <v>54</v>
      </c>
      <c r="D15" s="262" t="s">
        <v>100</v>
      </c>
      <c r="E15" s="33"/>
      <c r="F15" s="33"/>
      <c r="G15" s="260"/>
      <c r="H15" s="258"/>
      <c r="I15" s="495"/>
      <c r="J15" s="262" t="str">
        <f>VLOOKUP($C15,Benchmarks!$D$6:$DB$48,2+VLOOKUP($L$4,Calculation!$AV$3:$AW$12,2,FALSE)+IF(LanguageSelection="FR",51,0),FALSE)</f>
        <v>Availability of information concerning products, prices, and the rules governing the market and the supporting functions.</v>
      </c>
      <c r="K15" s="263" t="str">
        <f>VLOOKUP($C15,Benchmarks!$D$6:$DB$48,2+VLOOKUP($L$4,Calculation!$AV$3:$AW$12,2,FALSE)+_no_of_techs+IF(LanguageSelection="FR",51,0),FALSE)</f>
        <v>It is difficult for most market participants to acquire knowledge on products and prices as well as the rules governing the market.</v>
      </c>
      <c r="L15" s="264" t="str">
        <f>VLOOKUP($C15,Benchmarks!$D$6:$DB$48,2+VLOOKUP($L$4,Calculation!$AV$3:$AW$12,2,FALSE)+_no_of_techs*2+IF(LanguageSelection="FR",51,0),FALSE)</f>
        <v>Donors and government facilitate market information. Still cumbersome for market participants to acquire information.</v>
      </c>
      <c r="M15" s="265" t="str">
        <f>VLOOKUP($C15,Benchmarks!$D$6:$DB$48,2+VLOOKUP($L$4,Calculation!$AV$3:$AW$12,2,FALSE)+_no_of_techs*3+IF(LanguageSelection="FR",51,0),FALSE)</f>
        <v>Consumers and suppliers can more easily acquire market information.</v>
      </c>
      <c r="N15" s="266" t="str">
        <f>VLOOKUP($C15,Benchmarks!$D$6:$DB$48,2+VLOOKUP($L$4,Calculation!$AV$3:$AW$12,2,FALSE)+_no_of_techs*4+IF(LanguageSelection="FR",51,0),FALSE)</f>
        <v>Information on different products, suppliers, prices, and the rules governing the market is publicly available and easily accessible.</v>
      </c>
      <c r="O15" s="244"/>
    </row>
    <row r="16" spans="1:15" ht="80.099999999999994" customHeight="1" thickTop="1" thickBot="1" x14ac:dyDescent="0.25">
      <c r="A16" s="257"/>
      <c r="B16" s="514"/>
      <c r="C16" s="49" t="s">
        <v>55</v>
      </c>
      <c r="D16" s="262" t="str">
        <f>'EAMD Scorecard'!D58</f>
        <v>Market facilitation organisations</v>
      </c>
      <c r="E16" s="33"/>
      <c r="F16" s="33"/>
      <c r="G16" s="260"/>
      <c r="H16" s="258"/>
      <c r="I16" s="495"/>
      <c r="J16" s="262" t="str">
        <f>VLOOKUP($C16,Benchmarks!$D$6:$DB$48,2+VLOOKUP($L$4,Calculation!$AV$3:$AW$12,2,FALSE)+IF(LanguageSelection="FR",51,0),FALSE)</f>
        <v>Existence of independent consumer and supplier associations.</v>
      </c>
      <c r="K16" s="263" t="str">
        <f>VLOOKUP($C16,Benchmarks!$D$6:$DB$48,2+VLOOKUP($L$4,Calculation!$AV$3:$AW$12,2,FALSE)+_no_of_techs+IF(LanguageSelection="FR",51,0),FALSE)</f>
        <v>Public or private, or a mix of market facilitation organizations are non-existent.</v>
      </c>
      <c r="L16" s="264" t="str">
        <f>VLOOKUP($C16,Benchmarks!$D$6:$DB$48,2+VLOOKUP($L$4,Calculation!$AV$3:$AW$12,2,FALSE)+_no_of_techs*2+IF(LanguageSelection="FR",51,0),FALSE)</f>
        <v>Emergence of public funded market facilitation organization planned and/or in the process to be established.</v>
      </c>
      <c r="M16" s="265" t="str">
        <f>VLOOKUP($C16,Benchmarks!$D$6:$DB$48,2+VLOOKUP($L$4,Calculation!$AV$3:$AW$12,2,FALSE)+_no_of_techs*3+IF(LanguageSelection="FR",51,0),FALSE)</f>
        <v>Emergence of public and/or private market facilitation organizations.</v>
      </c>
      <c r="N16" s="266" t="str">
        <f>VLOOKUP($C16,Benchmarks!$D$6:$DB$48,2+VLOOKUP($L$4,Calculation!$AV$3:$AW$12,2,FALSE)+_no_of_techs*4+IF(LanguageSelection="FR",51,0),FALSE)</f>
        <v>Well-established  and effective market facilitation organizations</v>
      </c>
      <c r="O16" s="244"/>
    </row>
    <row r="17" spans="1:15" ht="80.099999999999994" customHeight="1" thickTop="1" thickBot="1" x14ac:dyDescent="0.25">
      <c r="A17" s="257"/>
      <c r="B17" s="515"/>
      <c r="C17" s="49" t="s">
        <v>56</v>
      </c>
      <c r="D17" s="262" t="str">
        <f>'EAMD Scorecard'!D59</f>
        <v>Awareness campaigns</v>
      </c>
      <c r="E17" s="33"/>
      <c r="F17" s="33"/>
      <c r="G17" s="260"/>
      <c r="H17" s="258"/>
      <c r="I17" s="495"/>
      <c r="J17" s="262" t="str">
        <f>VLOOKUP($C17,Benchmarks!$D$6:$DB$48,2+VLOOKUP($L$4,Calculation!$AV$3:$AW$12,2,FALSE)+IF(LanguageSelection="FR",51,0),FALSE)</f>
        <v>Extent of awareness-raising and educational activities.</v>
      </c>
      <c r="K17" s="263" t="str">
        <f>VLOOKUP($C17,Benchmarks!$D$6:$DB$48,2+VLOOKUP($L$4,Calculation!$AV$3:$AW$12,2,FALSE)+_no_of_techs+IF(LanguageSelection="FR",51,0),FALSE)</f>
        <v>No awareness campaigns at government level. 
Donor-driven activities push to raise awareness</v>
      </c>
      <c r="L17" s="264" t="str">
        <f>VLOOKUP($C17,Benchmarks!$D$6:$DB$48,2+VLOOKUP($L$4,Calculation!$AV$3:$AW$12,2,FALSE)+_no_of_techs*2+IF(LanguageSelection="FR",51,0),FALSE)</f>
        <v>Big push of consumer awareness raising activities by donors with support of Governments</v>
      </c>
      <c r="M17" s="265" t="str">
        <f>VLOOKUP($C17,Benchmarks!$D$6:$DB$48,2+VLOOKUP($L$4,Calculation!$AV$3:$AW$12,2,FALSE)+_no_of_techs*3+IF(LanguageSelection="FR",51,0),FALSE)</f>
        <v>Governments support awareness raising activities for consumers in some cases supported by donors.</v>
      </c>
      <c r="N17" s="266" t="str">
        <f>VLOOKUP($C17,Benchmarks!$D$6:$DB$48,2+VLOOKUP($L$4,Calculation!$AV$3:$AW$12,2,FALSE)+_no_of_techs*4+IF(LanguageSelection="FR",51,0),FALSE)</f>
        <v>Retracting consumer awareness raising campaigns due to high consumer awareness.</v>
      </c>
      <c r="O17" s="244"/>
    </row>
    <row r="18" spans="1:15" ht="80.099999999999994" customHeight="1" thickTop="1" thickBot="1" x14ac:dyDescent="0.25">
      <c r="A18" s="257"/>
      <c r="B18" s="513" t="str">
        <f>VLOOKUP("e5",Labels!$A$1:$C$1001,IF(LanguageSelection="FR",3,2),FALSE)</f>
        <v>E5
Expertise development</v>
      </c>
      <c r="C18" s="49" t="s">
        <v>57</v>
      </c>
      <c r="D18" s="262" t="str">
        <f>'EAMD Scorecard'!D60</f>
        <v>Technical courses</v>
      </c>
      <c r="E18" s="33"/>
      <c r="F18" s="33"/>
      <c r="G18" s="260"/>
      <c r="H18" s="258"/>
      <c r="I18" s="495"/>
      <c r="J18" s="262" t="str">
        <f>VLOOKUP($C18,Benchmarks!$D$6:$DB$48,2+VLOOKUP($L$4,Calculation!$AV$3:$AW$12,2,FALSE)+IF(LanguageSelection="FR",51,0),FALSE)</f>
        <v>Availability of specialised courses and vocational training that respond to the demand for skilled technicians.</v>
      </c>
      <c r="K18" s="263" t="str">
        <f>VLOOKUP($C18,Benchmarks!$D$6:$DB$48,2+VLOOKUP($L$4,Calculation!$AV$3:$AW$12,2,FALSE)+_no_of_techs+IF(LanguageSelection="FR",51,0),FALSE)</f>
        <v>No specialised, technology-specific study courses/trainings</v>
      </c>
      <c r="L18" s="264" t="str">
        <f>VLOOKUP($C18,Benchmarks!$D$6:$DB$48,2+VLOOKUP($L$4,Calculation!$AV$3:$AW$12,2,FALSE)+_no_of_techs*2+IF(LanguageSelection="FR",51,0),FALSE)</f>
        <v>Trainings offered mainly by donors only.</v>
      </c>
      <c r="M18" s="265" t="str">
        <f>VLOOKUP($C18,Benchmarks!$D$6:$DB$48,2+VLOOKUP($L$4,Calculation!$AV$3:$AW$12,2,FALSE)+_no_of_techs*3+IF(LanguageSelection="FR",51,0),FALSE)</f>
        <v>Specialised study courses start to emerge. Demand for skilled labour force increases (usually with a lag).</v>
      </c>
      <c r="N18" s="266" t="str">
        <f>VLOOKUP($C18,Benchmarks!$D$6:$DB$48,2+VLOOKUP($L$4,Calculation!$AV$3:$AW$12,2,FALSE)+_no_of_techs*4+IF(LanguageSelection="FR",51,0),FALSE)</f>
        <v>Availability of a variety of specialised study courses/trainings for energy access professionals and technicians</v>
      </c>
      <c r="O18" s="244"/>
    </row>
    <row r="19" spans="1:15" ht="80.099999999999994" customHeight="1" thickTop="1" thickBot="1" x14ac:dyDescent="0.25">
      <c r="A19" s="257"/>
      <c r="B19" s="514"/>
      <c r="C19" s="49" t="s">
        <v>58</v>
      </c>
      <c r="D19" s="262" t="str">
        <f>'EAMD Scorecard'!D61</f>
        <v>Business Development Training</v>
      </c>
      <c r="E19" s="33"/>
      <c r="F19" s="33"/>
      <c r="G19" s="260"/>
      <c r="H19" s="258"/>
      <c r="I19" s="495"/>
      <c r="J19" s="262" t="str">
        <f>VLOOKUP($C19,Benchmarks!$D$6:$DB$48,2+VLOOKUP($L$4,Calculation!$AV$3:$AW$12,2,FALSE)+IF(LanguageSelection="FR",51,0),FALSE)</f>
        <v>Availability of courses  that responds to the demand for specialised business professionals.</v>
      </c>
      <c r="K19" s="263" t="str">
        <f>VLOOKUP($C19,Benchmarks!$D$6:$DB$48,2+VLOOKUP($L$4,Calculation!$AV$3:$AW$12,2,FALSE)+_no_of_techs+IF(LanguageSelection="FR",51,0),FALSE)</f>
        <v>No Business Development Training courses</v>
      </c>
      <c r="L19" s="264" t="str">
        <f>VLOOKUP($C19,Benchmarks!$D$6:$DB$48,2+VLOOKUP($L$4,Calculation!$AV$3:$AW$12,2,FALSE)+_no_of_techs*2+IF(LanguageSelection="FR",51,0),FALSE)</f>
        <v>The training offered by donors includes some business skills.</v>
      </c>
      <c r="M19" s="265" t="str">
        <f>VLOOKUP($C19,Benchmarks!$D$6:$DB$48,2+VLOOKUP($L$4,Calculation!$AV$3:$AW$12,2,FALSE)+_no_of_techs*3+IF(LanguageSelection="FR",51,0),FALSE)</f>
        <v>Labour force trained by donors seeks business courses outside of project.</v>
      </c>
      <c r="N19" s="266" t="str">
        <f>VLOOKUP($C19,Benchmarks!$D$6:$DB$48,2+VLOOKUP($L$4,Calculation!$AV$3:$AW$12,2,FALSE)+_no_of_techs*4+IF(LanguageSelection="FR",51,0),FALSE)</f>
        <v>BDT is included in specialised training for RE professionals.</v>
      </c>
      <c r="O19" s="244"/>
    </row>
    <row r="20" spans="1:15" ht="80.099999999999994" customHeight="1" thickTop="1" thickBot="1" x14ac:dyDescent="0.25">
      <c r="A20" s="257"/>
      <c r="B20" s="515"/>
      <c r="C20" s="49" t="s">
        <v>59</v>
      </c>
      <c r="D20" s="262" t="str">
        <f>'EAMD Scorecard'!D62</f>
        <v>User training</v>
      </c>
      <c r="E20" s="33"/>
      <c r="F20" s="33"/>
      <c r="G20" s="260"/>
      <c r="H20" s="258"/>
      <c r="I20" s="495"/>
      <c r="J20" s="262" t="str">
        <f>VLOOKUP($C20,Benchmarks!$D$6:$DB$48,2+VLOOKUP($L$4,Calculation!$AV$3:$AW$12,2,FALSE)+IF(LanguageSelection="FR",51,0),FALSE)</f>
        <v>Availability of courses for the empowerment of end-users.</v>
      </c>
      <c r="K20" s="263" t="str">
        <f>VLOOKUP($C20,Benchmarks!$D$6:$DB$48,2+VLOOKUP($L$4,Calculation!$AV$3:$AW$12,2,FALSE)+_no_of_techs+IF(LanguageSelection="FR",51,0),FALSE)</f>
        <v xml:space="preserve">Importance of donors for user trainings is high. </v>
      </c>
      <c r="L20" s="264" t="str">
        <f>VLOOKUP($C20,Benchmarks!$D$6:$DB$48,2+VLOOKUP($L$4,Calculation!$AV$3:$AW$12,2,FALSE)+_no_of_techs*2+IF(LanguageSelection="FR",51,0),FALSE)</f>
        <v>Trainings are still provided by donors for early adopters; businesses offer only limited trainings.</v>
      </c>
      <c r="M20" s="265" t="str">
        <f>VLOOKUP($C20,Benchmarks!$D$6:$DB$48,2+VLOOKUP($L$4,Calculation!$AV$3:$AW$12,2,FALSE)+_no_of_techs*3+IF(LanguageSelection="FR",51,0),FALSE)</f>
        <v>Donors make businesses understand the importance of user trainings.</v>
      </c>
      <c r="N20" s="266" t="str">
        <f>VLOOKUP($C20,Benchmarks!$D$6:$DB$48,2+VLOOKUP($L$4,Calculation!$AV$3:$AW$12,2,FALSE)+_no_of_techs*4+IF(LanguageSelection="FR",51,0),FALSE)</f>
        <v>Businesses recognize the importance of user trainings and offer widespread support.</v>
      </c>
      <c r="O20" s="244"/>
    </row>
    <row r="21" spans="1:15" ht="12" customHeight="1" thickTop="1" x14ac:dyDescent="0.25">
      <c r="A21" s="244"/>
      <c r="B21" s="244"/>
      <c r="C21" s="244"/>
      <c r="D21" s="244"/>
      <c r="E21" s="254"/>
      <c r="F21" s="254"/>
      <c r="G21" s="254"/>
      <c r="H21" s="254"/>
      <c r="I21" s="246"/>
      <c r="J21" s="244"/>
      <c r="K21" s="244"/>
      <c r="L21" s="244"/>
      <c r="M21" s="244"/>
      <c r="N21" s="244"/>
      <c r="O21" s="244"/>
    </row>
    <row r="22" spans="1:15" ht="15" x14ac:dyDescent="0.25">
      <c r="A22" s="32"/>
      <c r="B22" s="32"/>
      <c r="C22" s="32"/>
      <c r="D22" s="32"/>
      <c r="E22" s="52"/>
      <c r="F22" s="52"/>
      <c r="G22" s="52"/>
      <c r="H22" s="52"/>
    </row>
    <row r="23" spans="1:15" ht="15" x14ac:dyDescent="0.25">
      <c r="A23" s="32"/>
      <c r="B23" s="32"/>
      <c r="C23" s="32"/>
      <c r="D23" s="32"/>
      <c r="E23" s="52"/>
      <c r="F23" s="52"/>
      <c r="G23" s="52"/>
      <c r="H23" s="52"/>
    </row>
    <row r="24" spans="1:15" ht="16.5" customHeight="1" x14ac:dyDescent="0.25">
      <c r="A24" s="32"/>
      <c r="B24" s="32"/>
      <c r="C24" s="32"/>
      <c r="D24" s="32"/>
      <c r="E24" s="52"/>
      <c r="F24" s="52"/>
      <c r="G24" s="52"/>
      <c r="H24" s="52"/>
    </row>
    <row r="25" spans="1:15" ht="15" x14ac:dyDescent="0.25">
      <c r="A25" s="32"/>
      <c r="B25" s="32"/>
      <c r="C25" s="32"/>
      <c r="D25" s="32"/>
      <c r="E25" s="52"/>
      <c r="F25" s="52"/>
      <c r="G25" s="52"/>
      <c r="H25" s="52"/>
    </row>
    <row r="26" spans="1:15" ht="15" x14ac:dyDescent="0.25">
      <c r="A26" s="32"/>
      <c r="B26" s="32"/>
      <c r="C26" s="32"/>
      <c r="D26" s="32"/>
      <c r="E26" s="52"/>
      <c r="F26" s="52"/>
      <c r="G26" s="52"/>
      <c r="H26" s="52"/>
    </row>
    <row r="27" spans="1:15" ht="15" x14ac:dyDescent="0.25">
      <c r="A27" s="32"/>
      <c r="B27" s="32"/>
      <c r="C27" s="32"/>
      <c r="D27" s="32"/>
      <c r="E27" s="52"/>
      <c r="F27" s="52"/>
      <c r="G27" s="52"/>
      <c r="H27" s="52"/>
    </row>
    <row r="28" spans="1:15" ht="15" x14ac:dyDescent="0.25">
      <c r="A28" s="32"/>
      <c r="B28" s="32"/>
      <c r="C28" s="32"/>
      <c r="D28" s="32"/>
      <c r="E28" s="52"/>
      <c r="F28" s="52"/>
      <c r="G28" s="52"/>
      <c r="H28" s="52"/>
    </row>
    <row r="29" spans="1:15" ht="15" x14ac:dyDescent="0.25">
      <c r="A29" s="32"/>
      <c r="B29" s="32"/>
      <c r="C29" s="32"/>
      <c r="D29" s="32"/>
      <c r="E29" s="52"/>
      <c r="F29" s="52"/>
      <c r="G29" s="52"/>
      <c r="H29" s="52"/>
    </row>
    <row r="30" spans="1:15" ht="15" x14ac:dyDescent="0.25">
      <c r="A30" s="32"/>
      <c r="B30" s="32"/>
      <c r="C30" s="32"/>
      <c r="D30" s="32"/>
      <c r="F30" s="52"/>
      <c r="G30" s="52"/>
      <c r="H30" s="52"/>
    </row>
    <row r="31" spans="1:15" ht="15" x14ac:dyDescent="0.25">
      <c r="A31" s="32"/>
      <c r="B31" s="32"/>
      <c r="C31" s="32"/>
      <c r="D31" s="32"/>
      <c r="F31" s="52"/>
      <c r="G31" s="52"/>
      <c r="H31" s="52"/>
    </row>
    <row r="32" spans="1:15" ht="15" x14ac:dyDescent="0.25">
      <c r="A32" s="32"/>
      <c r="B32" s="32"/>
      <c r="C32" s="32"/>
      <c r="D32" s="32"/>
      <c r="F32" s="52"/>
      <c r="G32" s="52"/>
      <c r="H32" s="52"/>
    </row>
    <row r="33" spans="1:8" ht="15" x14ac:dyDescent="0.25">
      <c r="A33" s="32"/>
      <c r="B33" s="32"/>
      <c r="C33" s="32"/>
      <c r="D33" s="32"/>
      <c r="F33" s="52"/>
      <c r="G33" s="52"/>
      <c r="H33" s="52"/>
    </row>
    <row r="34" spans="1:8" ht="15" x14ac:dyDescent="0.25">
      <c r="A34" s="32"/>
      <c r="B34" s="32"/>
      <c r="C34" s="32"/>
      <c r="D34" s="32"/>
      <c r="F34" s="52"/>
      <c r="G34" s="52"/>
      <c r="H34" s="52"/>
    </row>
    <row r="35" spans="1:8" ht="15" x14ac:dyDescent="0.25">
      <c r="A35" s="32"/>
      <c r="B35" s="32"/>
      <c r="C35" s="32"/>
      <c r="D35" s="32"/>
      <c r="F35" s="52"/>
      <c r="G35" s="52"/>
      <c r="H35" s="52"/>
    </row>
    <row r="36" spans="1:8" ht="15" x14ac:dyDescent="0.25">
      <c r="A36" s="32"/>
      <c r="B36" s="32"/>
      <c r="C36" s="32"/>
      <c r="D36" s="32"/>
      <c r="F36" s="52"/>
      <c r="G36" s="52"/>
      <c r="H36" s="52"/>
    </row>
    <row r="37" spans="1:8" ht="15" x14ac:dyDescent="0.25">
      <c r="A37" s="32"/>
      <c r="B37" s="32"/>
      <c r="C37" s="32"/>
      <c r="D37" s="32"/>
      <c r="F37" s="52"/>
      <c r="G37" s="52"/>
      <c r="H37" s="52"/>
    </row>
    <row r="38" spans="1:8" ht="15" x14ac:dyDescent="0.25">
      <c r="A38" s="32"/>
      <c r="B38" s="32"/>
      <c r="C38" s="32"/>
      <c r="D38" s="32"/>
      <c r="F38" s="52"/>
      <c r="G38" s="52"/>
      <c r="H38" s="52"/>
    </row>
    <row r="39" spans="1:8" ht="15" x14ac:dyDescent="0.25">
      <c r="A39" s="32"/>
      <c r="B39" s="32"/>
      <c r="C39" s="32"/>
      <c r="D39" s="32"/>
      <c r="F39" s="52"/>
      <c r="G39" s="52"/>
      <c r="H39" s="52"/>
    </row>
    <row r="40" spans="1:8" ht="15" x14ac:dyDescent="0.25">
      <c r="A40" s="32"/>
      <c r="B40" s="32"/>
      <c r="C40" s="32"/>
      <c r="D40" s="32"/>
      <c r="F40" s="52"/>
      <c r="G40" s="52"/>
      <c r="H40" s="52"/>
    </row>
    <row r="41" spans="1:8" ht="15" x14ac:dyDescent="0.25">
      <c r="A41" s="32"/>
      <c r="B41" s="32"/>
      <c r="C41" s="32"/>
      <c r="D41" s="32"/>
      <c r="F41" s="52"/>
      <c r="G41" s="52"/>
      <c r="H41" s="52"/>
    </row>
    <row r="42" spans="1:8" ht="15" x14ac:dyDescent="0.25">
      <c r="A42" s="32"/>
      <c r="B42" s="32"/>
      <c r="C42" s="32"/>
      <c r="D42" s="32"/>
      <c r="F42" s="52"/>
      <c r="G42" s="52"/>
      <c r="H42" s="52"/>
    </row>
    <row r="43" spans="1:8" ht="15" x14ac:dyDescent="0.25">
      <c r="A43" s="32"/>
      <c r="B43" s="32"/>
      <c r="C43" s="32"/>
      <c r="D43" s="32"/>
      <c r="F43" s="52"/>
      <c r="G43" s="52"/>
      <c r="H43" s="52"/>
    </row>
    <row r="44" spans="1:8" ht="15" x14ac:dyDescent="0.25">
      <c r="A44" s="32"/>
      <c r="B44" s="32"/>
      <c r="C44" s="32"/>
      <c r="D44" s="32"/>
      <c r="F44" s="52"/>
      <c r="G44" s="52"/>
      <c r="H44" s="52"/>
    </row>
    <row r="45" spans="1:8" ht="15" x14ac:dyDescent="0.25">
      <c r="A45" s="32"/>
      <c r="B45" s="32"/>
      <c r="C45" s="32"/>
      <c r="D45" s="32"/>
      <c r="F45" s="52"/>
      <c r="G45" s="52"/>
      <c r="H45" s="52"/>
    </row>
    <row r="46" spans="1:8" ht="15" x14ac:dyDescent="0.25">
      <c r="A46" s="32"/>
      <c r="B46" s="32"/>
      <c r="C46" s="32"/>
      <c r="D46" s="32"/>
      <c r="F46" s="52"/>
      <c r="G46" s="52"/>
      <c r="H46" s="52"/>
    </row>
    <row r="47" spans="1:8" ht="15" x14ac:dyDescent="0.25">
      <c r="A47" s="32"/>
      <c r="B47" s="32"/>
      <c r="C47" s="32"/>
      <c r="D47" s="32"/>
      <c r="F47" s="52"/>
      <c r="G47" s="52"/>
      <c r="H47" s="52"/>
    </row>
    <row r="48" spans="1:8" ht="15" x14ac:dyDescent="0.25">
      <c r="A48" s="32"/>
      <c r="B48" s="32"/>
      <c r="C48" s="32"/>
      <c r="D48" s="32"/>
      <c r="F48" s="52"/>
      <c r="G48" s="52"/>
      <c r="H48" s="52"/>
    </row>
    <row r="49" spans="1:8" ht="15" x14ac:dyDescent="0.25">
      <c r="A49" s="32"/>
      <c r="B49" s="32"/>
      <c r="C49" s="32"/>
      <c r="D49" s="32"/>
      <c r="F49" s="52"/>
      <c r="G49" s="52"/>
      <c r="H49" s="52"/>
    </row>
    <row r="50" spans="1:8" ht="15" x14ac:dyDescent="0.25">
      <c r="A50" s="32"/>
      <c r="B50" s="32"/>
      <c r="C50" s="32"/>
      <c r="D50" s="32"/>
      <c r="F50" s="52"/>
      <c r="G50" s="52"/>
      <c r="H50" s="52"/>
    </row>
    <row r="51" spans="1:8" ht="15" x14ac:dyDescent="0.25">
      <c r="A51" s="32"/>
      <c r="B51" s="32"/>
      <c r="C51" s="32"/>
      <c r="D51" s="32"/>
      <c r="F51" s="52"/>
      <c r="G51" s="52"/>
      <c r="H51" s="52"/>
    </row>
    <row r="52" spans="1:8" ht="15" x14ac:dyDescent="0.25">
      <c r="A52" s="32"/>
      <c r="B52" s="32"/>
      <c r="C52" s="32"/>
      <c r="D52" s="32"/>
      <c r="F52" s="52"/>
      <c r="G52" s="52"/>
      <c r="H52" s="52"/>
    </row>
    <row r="53" spans="1:8" ht="15" x14ac:dyDescent="0.25">
      <c r="A53" s="32"/>
      <c r="B53" s="32"/>
      <c r="C53" s="32"/>
      <c r="D53" s="32"/>
      <c r="F53" s="52"/>
      <c r="G53" s="52"/>
      <c r="H53" s="52"/>
    </row>
    <row r="54" spans="1:8" ht="15" x14ac:dyDescent="0.25">
      <c r="A54" s="32"/>
      <c r="B54" s="32"/>
      <c r="C54" s="32"/>
      <c r="D54" s="32"/>
      <c r="F54" s="52"/>
      <c r="G54" s="52"/>
      <c r="H54" s="52"/>
    </row>
    <row r="55" spans="1:8" ht="15" x14ac:dyDescent="0.25">
      <c r="A55" s="32"/>
      <c r="B55" s="32"/>
      <c r="C55" s="32"/>
      <c r="D55" s="32"/>
      <c r="F55" s="52"/>
      <c r="G55" s="52"/>
      <c r="H55" s="52"/>
    </row>
    <row r="56" spans="1:8" ht="15" x14ac:dyDescent="0.25">
      <c r="A56" s="32"/>
      <c r="B56" s="32"/>
      <c r="C56" s="32"/>
      <c r="D56" s="32"/>
      <c r="F56" s="52"/>
      <c r="G56" s="52"/>
      <c r="H56" s="52"/>
    </row>
    <row r="57" spans="1:8" ht="15" x14ac:dyDescent="0.25">
      <c r="A57" s="32"/>
      <c r="B57" s="32"/>
      <c r="C57" s="32"/>
      <c r="D57" s="32"/>
      <c r="F57" s="52"/>
      <c r="G57" s="52"/>
      <c r="H57" s="52"/>
    </row>
    <row r="58" spans="1:8" ht="15" x14ac:dyDescent="0.25">
      <c r="A58" s="32"/>
      <c r="B58" s="32"/>
      <c r="C58" s="32"/>
      <c r="D58" s="32"/>
      <c r="F58" s="52"/>
      <c r="G58" s="52"/>
      <c r="H58" s="52"/>
    </row>
    <row r="59" spans="1:8" ht="15" x14ac:dyDescent="0.25">
      <c r="A59" s="32"/>
      <c r="B59" s="32"/>
      <c r="C59" s="32"/>
      <c r="D59" s="32"/>
      <c r="F59" s="52"/>
      <c r="G59" s="52"/>
      <c r="H59" s="52"/>
    </row>
    <row r="60" spans="1:8" ht="15" x14ac:dyDescent="0.25">
      <c r="A60" s="32"/>
      <c r="B60" s="32"/>
      <c r="C60" s="32"/>
      <c r="D60" s="32"/>
      <c r="F60" s="52"/>
      <c r="G60" s="52"/>
      <c r="H60" s="52"/>
    </row>
    <row r="61" spans="1:8" ht="15" x14ac:dyDescent="0.25">
      <c r="A61" s="32"/>
      <c r="B61" s="32"/>
      <c r="C61" s="32"/>
      <c r="D61" s="32"/>
      <c r="F61" s="52"/>
      <c r="G61" s="52"/>
      <c r="H61" s="52"/>
    </row>
    <row r="62" spans="1:8" ht="15" x14ac:dyDescent="0.25">
      <c r="A62" s="32"/>
      <c r="B62" s="32"/>
      <c r="C62" s="32"/>
      <c r="D62" s="32"/>
      <c r="F62" s="52"/>
      <c r="G62" s="52"/>
      <c r="H62" s="52"/>
    </row>
    <row r="63" spans="1:8" ht="15" x14ac:dyDescent="0.25">
      <c r="A63" s="32"/>
      <c r="B63" s="32"/>
      <c r="C63" s="32"/>
      <c r="D63" s="32"/>
      <c r="F63" s="52"/>
      <c r="G63" s="52"/>
      <c r="H63" s="52"/>
    </row>
    <row r="64" spans="1:8" ht="15" x14ac:dyDescent="0.25">
      <c r="A64" s="32"/>
      <c r="B64" s="32"/>
      <c r="C64" s="32"/>
      <c r="D64" s="32"/>
      <c r="F64" s="52"/>
      <c r="G64" s="52"/>
      <c r="H64" s="52"/>
    </row>
    <row r="65" spans="1:8" ht="15" x14ac:dyDescent="0.25">
      <c r="A65" s="32"/>
      <c r="B65" s="32"/>
      <c r="C65" s="32"/>
      <c r="D65" s="32"/>
      <c r="F65" s="52"/>
      <c r="G65" s="52"/>
      <c r="H65" s="52"/>
    </row>
    <row r="66" spans="1:8" ht="15" x14ac:dyDescent="0.25">
      <c r="A66" s="32"/>
      <c r="B66" s="32"/>
      <c r="C66" s="32"/>
      <c r="D66" s="32"/>
      <c r="F66" s="52"/>
      <c r="G66" s="52"/>
      <c r="H66" s="52"/>
    </row>
    <row r="67" spans="1:8" ht="15" x14ac:dyDescent="0.25">
      <c r="A67" s="32"/>
      <c r="B67" s="32"/>
      <c r="C67" s="32"/>
      <c r="D67" s="32"/>
      <c r="F67" s="52"/>
      <c r="G67" s="52"/>
      <c r="H67" s="52"/>
    </row>
    <row r="68" spans="1:8" ht="15" x14ac:dyDescent="0.25">
      <c r="A68" s="32"/>
      <c r="B68" s="32"/>
      <c r="C68" s="32"/>
      <c r="D68" s="32"/>
      <c r="F68" s="52"/>
      <c r="G68" s="52"/>
      <c r="H68" s="52"/>
    </row>
    <row r="69" spans="1:8" ht="15" x14ac:dyDescent="0.25">
      <c r="A69" s="32"/>
      <c r="B69" s="32"/>
      <c r="C69" s="32"/>
      <c r="D69" s="32"/>
      <c r="F69" s="52"/>
      <c r="G69" s="52"/>
      <c r="H69" s="52"/>
    </row>
    <row r="70" spans="1:8" ht="15" x14ac:dyDescent="0.25">
      <c r="A70" s="32"/>
      <c r="B70" s="32"/>
      <c r="C70" s="32"/>
      <c r="D70" s="32"/>
      <c r="F70" s="52"/>
      <c r="G70" s="52"/>
      <c r="H70" s="52"/>
    </row>
    <row r="71" spans="1:8" ht="15" x14ac:dyDescent="0.25">
      <c r="A71" s="32"/>
      <c r="B71" s="32"/>
      <c r="C71" s="32"/>
      <c r="D71" s="32"/>
      <c r="F71" s="52"/>
      <c r="G71" s="52"/>
      <c r="H71" s="52"/>
    </row>
    <row r="72" spans="1:8" ht="15" x14ac:dyDescent="0.25">
      <c r="A72" s="32"/>
      <c r="B72" s="32"/>
      <c r="C72" s="32"/>
      <c r="D72" s="32"/>
      <c r="F72" s="52"/>
      <c r="G72" s="52"/>
      <c r="H72" s="52"/>
    </row>
    <row r="73" spans="1:8" ht="15" x14ac:dyDescent="0.25">
      <c r="A73" s="32"/>
      <c r="B73" s="32"/>
      <c r="C73" s="32"/>
      <c r="D73" s="32"/>
      <c r="F73" s="52"/>
      <c r="G73" s="52"/>
      <c r="H73" s="52"/>
    </row>
    <row r="74" spans="1:8" ht="15" x14ac:dyDescent="0.25">
      <c r="A74" s="32"/>
      <c r="B74" s="32"/>
      <c r="C74" s="32"/>
      <c r="D74" s="32"/>
      <c r="F74" s="52"/>
      <c r="G74" s="52"/>
      <c r="H74" s="52"/>
    </row>
    <row r="75" spans="1:8" ht="15" x14ac:dyDescent="0.25">
      <c r="A75" s="32"/>
      <c r="B75" s="32"/>
      <c r="C75" s="32"/>
      <c r="D75" s="32"/>
      <c r="F75" s="52"/>
      <c r="G75" s="52"/>
      <c r="H75" s="52"/>
    </row>
    <row r="76" spans="1:8" ht="15" x14ac:dyDescent="0.25">
      <c r="A76" s="32"/>
      <c r="B76" s="32"/>
      <c r="C76" s="32"/>
      <c r="D76" s="32"/>
      <c r="F76" s="52"/>
      <c r="G76" s="52"/>
      <c r="H76" s="52"/>
    </row>
    <row r="77" spans="1:8" ht="15" x14ac:dyDescent="0.25">
      <c r="A77" s="32"/>
      <c r="B77" s="32"/>
      <c r="C77" s="32"/>
      <c r="D77" s="32"/>
      <c r="F77" s="52"/>
      <c r="G77" s="52"/>
      <c r="H77" s="52"/>
    </row>
    <row r="78" spans="1:8" ht="15" x14ac:dyDescent="0.25">
      <c r="A78" s="32"/>
      <c r="B78" s="32"/>
      <c r="C78" s="32"/>
      <c r="D78" s="32"/>
      <c r="F78" s="52"/>
      <c r="G78" s="52"/>
      <c r="H78" s="52"/>
    </row>
    <row r="79" spans="1:8" ht="15" x14ac:dyDescent="0.25">
      <c r="A79" s="32"/>
      <c r="B79" s="32"/>
      <c r="C79" s="32"/>
      <c r="D79" s="32"/>
      <c r="F79" s="52"/>
      <c r="G79" s="52"/>
      <c r="H79" s="52"/>
    </row>
    <row r="80" spans="1:8" ht="15" x14ac:dyDescent="0.25">
      <c r="A80" s="32"/>
      <c r="B80" s="32"/>
      <c r="C80" s="32"/>
      <c r="D80" s="32"/>
      <c r="F80" s="52"/>
      <c r="G80" s="52"/>
      <c r="H80" s="52"/>
    </row>
    <row r="81" spans="1:8" ht="15" x14ac:dyDescent="0.25">
      <c r="A81" s="32"/>
      <c r="B81" s="32"/>
      <c r="C81" s="32"/>
      <c r="D81" s="32"/>
      <c r="F81" s="52"/>
      <c r="G81" s="52"/>
      <c r="H81" s="52"/>
    </row>
    <row r="82" spans="1:8" ht="15" x14ac:dyDescent="0.25">
      <c r="A82" s="32"/>
      <c r="B82" s="32"/>
      <c r="C82" s="32"/>
      <c r="D82" s="32"/>
      <c r="F82" s="52"/>
      <c r="G82" s="52"/>
      <c r="H82" s="52"/>
    </row>
    <row r="83" spans="1:8" ht="15" x14ac:dyDescent="0.25">
      <c r="A83" s="32"/>
      <c r="B83" s="32"/>
      <c r="C83" s="32"/>
      <c r="D83" s="32"/>
      <c r="F83" s="52"/>
      <c r="G83" s="52"/>
      <c r="H83" s="52"/>
    </row>
    <row r="84" spans="1:8" ht="15" x14ac:dyDescent="0.25">
      <c r="A84" s="32"/>
      <c r="B84" s="32"/>
      <c r="C84" s="32"/>
      <c r="D84" s="32"/>
      <c r="F84" s="52"/>
      <c r="G84" s="52"/>
      <c r="H84" s="52"/>
    </row>
    <row r="85" spans="1:8" ht="15" x14ac:dyDescent="0.25">
      <c r="A85" s="32"/>
      <c r="B85" s="32"/>
      <c r="C85" s="32"/>
      <c r="D85" s="32"/>
      <c r="F85" s="52"/>
      <c r="G85" s="52"/>
      <c r="H85" s="52"/>
    </row>
    <row r="86" spans="1:8" ht="15" x14ac:dyDescent="0.25">
      <c r="A86" s="32"/>
      <c r="B86" s="32"/>
      <c r="C86" s="32"/>
      <c r="D86" s="32"/>
      <c r="F86" s="52"/>
      <c r="G86" s="52"/>
      <c r="H86" s="52"/>
    </row>
    <row r="87" spans="1:8" ht="15" x14ac:dyDescent="0.25">
      <c r="A87" s="32"/>
      <c r="B87" s="32"/>
      <c r="C87" s="32"/>
      <c r="D87" s="32"/>
      <c r="F87" s="52"/>
      <c r="G87" s="52"/>
      <c r="H87" s="52"/>
    </row>
    <row r="88" spans="1:8" ht="15" x14ac:dyDescent="0.25">
      <c r="A88" s="32"/>
      <c r="B88" s="32"/>
      <c r="C88" s="32"/>
      <c r="D88" s="32"/>
      <c r="F88" s="52"/>
      <c r="G88" s="52"/>
      <c r="H88" s="52"/>
    </row>
    <row r="89" spans="1:8" ht="15" x14ac:dyDescent="0.25">
      <c r="A89" s="32"/>
      <c r="B89" s="32"/>
      <c r="C89" s="32"/>
      <c r="D89" s="32"/>
      <c r="F89" s="52"/>
      <c r="G89" s="52"/>
      <c r="H89" s="52"/>
    </row>
    <row r="90" spans="1:8" ht="15" x14ac:dyDescent="0.25">
      <c r="A90" s="32"/>
      <c r="B90" s="32"/>
      <c r="C90" s="32"/>
      <c r="D90" s="32"/>
      <c r="F90" s="52"/>
      <c r="G90" s="52"/>
      <c r="H90" s="52"/>
    </row>
    <row r="91" spans="1:8" ht="15" x14ac:dyDescent="0.25">
      <c r="A91" s="32"/>
      <c r="B91" s="32"/>
      <c r="C91" s="32"/>
      <c r="D91" s="32"/>
      <c r="F91" s="52"/>
      <c r="G91" s="52"/>
      <c r="H91" s="52"/>
    </row>
    <row r="92" spans="1:8" ht="15" x14ac:dyDescent="0.25">
      <c r="A92" s="32"/>
      <c r="B92" s="32"/>
      <c r="C92" s="32"/>
      <c r="D92" s="32"/>
      <c r="F92" s="52"/>
      <c r="G92" s="52"/>
      <c r="H92" s="52"/>
    </row>
    <row r="93" spans="1:8" ht="15" x14ac:dyDescent="0.25">
      <c r="A93" s="32"/>
      <c r="B93" s="32"/>
      <c r="C93" s="32"/>
      <c r="D93" s="32"/>
      <c r="F93" s="52"/>
      <c r="G93" s="52"/>
      <c r="H93" s="52"/>
    </row>
    <row r="94" spans="1:8" ht="15" x14ac:dyDescent="0.25">
      <c r="A94" s="32"/>
      <c r="B94" s="32"/>
      <c r="C94" s="32"/>
      <c r="D94" s="32"/>
      <c r="F94" s="52"/>
      <c r="G94" s="52"/>
      <c r="H94" s="52"/>
    </row>
    <row r="95" spans="1:8" ht="15" x14ac:dyDescent="0.25">
      <c r="A95" s="32"/>
      <c r="B95" s="32"/>
      <c r="C95" s="32"/>
      <c r="D95" s="32"/>
      <c r="F95" s="52"/>
      <c r="G95" s="52"/>
      <c r="H95" s="52"/>
    </row>
    <row r="96" spans="1:8" ht="15" x14ac:dyDescent="0.25">
      <c r="A96" s="32"/>
      <c r="B96" s="32"/>
      <c r="C96" s="32"/>
      <c r="D96" s="32"/>
      <c r="F96" s="52"/>
      <c r="G96" s="52"/>
      <c r="H96" s="52"/>
    </row>
    <row r="97" spans="1:8" ht="15" x14ac:dyDescent="0.25">
      <c r="A97" s="32"/>
      <c r="B97" s="32"/>
      <c r="C97" s="32"/>
      <c r="D97" s="32"/>
      <c r="F97" s="52"/>
      <c r="G97" s="52"/>
      <c r="H97" s="52"/>
    </row>
    <row r="98" spans="1:8" ht="15" x14ac:dyDescent="0.25">
      <c r="A98" s="32"/>
      <c r="B98" s="32"/>
      <c r="C98" s="32"/>
      <c r="D98" s="32"/>
      <c r="F98" s="52"/>
      <c r="G98" s="52"/>
      <c r="H98" s="52"/>
    </row>
    <row r="99" spans="1:8" ht="15" x14ac:dyDescent="0.25">
      <c r="A99" s="32"/>
      <c r="B99" s="32"/>
      <c r="C99" s="32"/>
      <c r="D99" s="32"/>
      <c r="F99" s="52"/>
      <c r="G99" s="52"/>
      <c r="H99" s="52"/>
    </row>
    <row r="100" spans="1:8" ht="15" x14ac:dyDescent="0.25">
      <c r="A100" s="32"/>
      <c r="B100" s="32"/>
      <c r="C100" s="32"/>
      <c r="D100" s="32"/>
      <c r="F100" s="52"/>
      <c r="G100" s="52"/>
      <c r="H100" s="52"/>
    </row>
    <row r="101" spans="1:8" ht="15" x14ac:dyDescent="0.25">
      <c r="A101" s="32"/>
      <c r="B101" s="32"/>
      <c r="C101" s="32"/>
      <c r="D101" s="32"/>
      <c r="F101" s="52"/>
      <c r="G101" s="52"/>
      <c r="H101" s="52"/>
    </row>
    <row r="102" spans="1:8" ht="15" x14ac:dyDescent="0.25">
      <c r="A102" s="32"/>
      <c r="B102" s="32"/>
      <c r="C102" s="32"/>
      <c r="D102" s="32"/>
      <c r="F102" s="52"/>
      <c r="G102" s="52"/>
      <c r="H102" s="52"/>
    </row>
    <row r="103" spans="1:8" ht="15" x14ac:dyDescent="0.25">
      <c r="A103" s="32"/>
      <c r="B103" s="32"/>
      <c r="C103" s="32"/>
      <c r="D103" s="32"/>
      <c r="F103" s="52"/>
      <c r="G103" s="52"/>
      <c r="H103" s="52"/>
    </row>
    <row r="104" spans="1:8" ht="15" x14ac:dyDescent="0.25">
      <c r="A104" s="32"/>
      <c r="B104" s="32"/>
      <c r="C104" s="32"/>
      <c r="D104" s="32"/>
      <c r="F104" s="52"/>
      <c r="G104" s="52"/>
      <c r="H104" s="52"/>
    </row>
    <row r="105" spans="1:8" ht="15" x14ac:dyDescent="0.25">
      <c r="A105" s="32"/>
      <c r="B105" s="32"/>
      <c r="C105" s="32"/>
      <c r="D105" s="32"/>
      <c r="F105" s="52"/>
      <c r="G105" s="52"/>
      <c r="H105" s="52"/>
    </row>
    <row r="106" spans="1:8" ht="15" x14ac:dyDescent="0.25">
      <c r="A106" s="32"/>
      <c r="B106" s="32"/>
      <c r="C106" s="32"/>
      <c r="D106" s="32"/>
      <c r="F106" s="52"/>
      <c r="G106" s="52"/>
      <c r="H106" s="52"/>
    </row>
    <row r="107" spans="1:8" ht="15" x14ac:dyDescent="0.25">
      <c r="A107" s="32"/>
      <c r="B107" s="32"/>
      <c r="C107" s="32"/>
      <c r="D107" s="32"/>
      <c r="F107" s="52"/>
      <c r="G107" s="52"/>
      <c r="H107" s="52"/>
    </row>
    <row r="108" spans="1:8" ht="15" x14ac:dyDescent="0.25">
      <c r="A108" s="32"/>
      <c r="B108" s="32"/>
      <c r="C108" s="32"/>
      <c r="D108" s="32"/>
      <c r="F108" s="52"/>
      <c r="G108" s="52"/>
      <c r="H108" s="52"/>
    </row>
    <row r="109" spans="1:8" ht="15" x14ac:dyDescent="0.25">
      <c r="A109" s="32"/>
      <c r="B109" s="32"/>
      <c r="C109" s="32"/>
      <c r="D109" s="32"/>
      <c r="F109" s="52"/>
      <c r="G109" s="52"/>
      <c r="H109" s="52"/>
    </row>
    <row r="110" spans="1:8" ht="15" x14ac:dyDescent="0.25">
      <c r="A110" s="32"/>
      <c r="B110" s="32"/>
      <c r="C110" s="32"/>
      <c r="D110" s="32"/>
      <c r="F110" s="52"/>
      <c r="G110" s="52"/>
      <c r="H110" s="52"/>
    </row>
    <row r="111" spans="1:8" ht="15" x14ac:dyDescent="0.25">
      <c r="A111" s="32"/>
      <c r="B111" s="32"/>
      <c r="C111" s="32"/>
      <c r="D111" s="32"/>
      <c r="F111" s="52"/>
      <c r="G111" s="52"/>
      <c r="H111" s="52"/>
    </row>
    <row r="112" spans="1:8" ht="15" x14ac:dyDescent="0.25">
      <c r="A112" s="32"/>
      <c r="B112" s="32"/>
      <c r="C112" s="32"/>
      <c r="D112" s="32"/>
      <c r="F112" s="52"/>
      <c r="G112" s="52"/>
      <c r="H112" s="52"/>
    </row>
    <row r="113" spans="1:8" ht="15" x14ac:dyDescent="0.25">
      <c r="A113" s="32"/>
      <c r="B113" s="32"/>
      <c r="C113" s="32"/>
      <c r="D113" s="32"/>
      <c r="F113" s="52"/>
      <c r="G113" s="52"/>
      <c r="H113" s="52"/>
    </row>
    <row r="114" spans="1:8" ht="15" x14ac:dyDescent="0.25">
      <c r="A114" s="32"/>
      <c r="B114" s="32"/>
      <c r="C114" s="32"/>
      <c r="D114" s="32"/>
      <c r="F114" s="52"/>
      <c r="G114" s="52"/>
      <c r="H114" s="52"/>
    </row>
    <row r="115" spans="1:8" ht="15" x14ac:dyDescent="0.25">
      <c r="A115" s="32"/>
      <c r="B115" s="32"/>
      <c r="C115" s="32"/>
      <c r="D115" s="32"/>
      <c r="F115" s="52"/>
      <c r="G115" s="52"/>
      <c r="H115" s="52"/>
    </row>
    <row r="116" spans="1:8" ht="15" x14ac:dyDescent="0.25">
      <c r="A116" s="32"/>
      <c r="B116" s="32"/>
      <c r="C116" s="32"/>
      <c r="D116" s="32"/>
      <c r="F116" s="52"/>
      <c r="G116" s="52"/>
      <c r="H116" s="52"/>
    </row>
    <row r="117" spans="1:8" ht="15" x14ac:dyDescent="0.25">
      <c r="A117" s="32"/>
      <c r="B117" s="32"/>
      <c r="C117" s="32"/>
      <c r="D117" s="32"/>
      <c r="F117" s="52"/>
      <c r="G117" s="52"/>
      <c r="H117" s="52"/>
    </row>
    <row r="118" spans="1:8" ht="15" x14ac:dyDescent="0.25">
      <c r="A118" s="32"/>
      <c r="B118" s="32"/>
      <c r="C118" s="32"/>
      <c r="D118" s="32"/>
      <c r="F118" s="52"/>
      <c r="G118" s="52"/>
      <c r="H118" s="52"/>
    </row>
    <row r="119" spans="1:8" ht="15" x14ac:dyDescent="0.25">
      <c r="A119" s="32"/>
      <c r="B119" s="32"/>
      <c r="C119" s="32"/>
      <c r="D119" s="32"/>
      <c r="F119" s="52"/>
      <c r="G119" s="52"/>
      <c r="H119" s="52"/>
    </row>
    <row r="120" spans="1:8" ht="15" x14ac:dyDescent="0.25">
      <c r="A120" s="32"/>
      <c r="B120" s="32"/>
      <c r="C120" s="32"/>
      <c r="D120" s="32"/>
      <c r="F120" s="52"/>
      <c r="G120" s="52"/>
      <c r="H120" s="52"/>
    </row>
    <row r="121" spans="1:8" ht="15" x14ac:dyDescent="0.25">
      <c r="A121" s="32"/>
      <c r="B121" s="32"/>
      <c r="C121" s="32"/>
      <c r="D121" s="32"/>
      <c r="F121" s="52"/>
      <c r="G121" s="52"/>
      <c r="H121" s="52"/>
    </row>
    <row r="122" spans="1:8" ht="15" x14ac:dyDescent="0.25">
      <c r="A122" s="32"/>
      <c r="B122" s="32"/>
      <c r="C122" s="32"/>
      <c r="D122" s="32"/>
      <c r="F122" s="52"/>
      <c r="G122" s="52"/>
      <c r="H122" s="52"/>
    </row>
    <row r="123" spans="1:8" ht="15" x14ac:dyDescent="0.25">
      <c r="A123" s="32"/>
      <c r="B123" s="32"/>
      <c r="C123" s="32"/>
      <c r="D123" s="32"/>
      <c r="F123" s="52"/>
      <c r="G123" s="52"/>
      <c r="H123" s="52"/>
    </row>
    <row r="124" spans="1:8" ht="15" x14ac:dyDescent="0.25">
      <c r="A124" s="32"/>
      <c r="B124" s="32"/>
      <c r="C124" s="32"/>
      <c r="D124" s="32"/>
      <c r="F124" s="52"/>
      <c r="G124" s="52"/>
      <c r="H124" s="52"/>
    </row>
    <row r="125" spans="1:8" ht="15" x14ac:dyDescent="0.25">
      <c r="A125" s="32"/>
      <c r="B125" s="32"/>
      <c r="C125" s="32"/>
      <c r="D125" s="32"/>
      <c r="F125" s="52"/>
      <c r="G125" s="52"/>
      <c r="H125" s="52"/>
    </row>
    <row r="126" spans="1:8" ht="15" x14ac:dyDescent="0.25">
      <c r="A126" s="32"/>
      <c r="B126" s="32"/>
      <c r="C126" s="32"/>
      <c r="D126" s="32"/>
      <c r="F126" s="52"/>
      <c r="G126" s="52"/>
      <c r="H126" s="52"/>
    </row>
    <row r="127" spans="1:8" ht="15" x14ac:dyDescent="0.25">
      <c r="A127" s="32"/>
      <c r="B127" s="32"/>
      <c r="C127" s="32"/>
      <c r="D127" s="32"/>
      <c r="F127" s="52"/>
      <c r="G127" s="52"/>
      <c r="H127" s="52"/>
    </row>
    <row r="128" spans="1:8" ht="15" x14ac:dyDescent="0.25">
      <c r="A128" s="32"/>
      <c r="B128" s="32"/>
      <c r="C128" s="32"/>
      <c r="D128" s="32"/>
      <c r="F128" s="52"/>
      <c r="G128" s="52"/>
      <c r="H128" s="52"/>
    </row>
    <row r="129" spans="1:9" ht="15" x14ac:dyDescent="0.25">
      <c r="A129" s="32"/>
      <c r="B129" s="32"/>
      <c r="C129" s="32"/>
      <c r="D129" s="32"/>
    </row>
    <row r="130" spans="1:9" ht="15" x14ac:dyDescent="0.25">
      <c r="A130" s="32"/>
      <c r="B130" s="32"/>
      <c r="C130" s="32"/>
      <c r="D130" s="32"/>
    </row>
    <row r="131" spans="1:9" ht="15" x14ac:dyDescent="0.25">
      <c r="A131" s="32"/>
      <c r="B131" s="32"/>
      <c r="C131" s="32"/>
      <c r="D131" s="32"/>
    </row>
    <row r="132" spans="1:9" ht="12.75" x14ac:dyDescent="0.2">
      <c r="A132" s="32"/>
      <c r="B132" s="32"/>
      <c r="C132" s="32"/>
      <c r="D132" s="32"/>
      <c r="I132" s="32"/>
    </row>
    <row r="133" spans="1:9" ht="12.75" x14ac:dyDescent="0.2">
      <c r="A133" s="32"/>
      <c r="B133" s="32"/>
      <c r="C133" s="32"/>
      <c r="D133" s="32"/>
      <c r="I133" s="32"/>
    </row>
    <row r="134" spans="1:9" ht="12.75" x14ac:dyDescent="0.2">
      <c r="A134" s="32"/>
      <c r="B134" s="32"/>
      <c r="C134" s="32"/>
      <c r="D134" s="32"/>
      <c r="I134" s="32"/>
    </row>
    <row r="135" spans="1:9" ht="12.75" x14ac:dyDescent="0.2">
      <c r="A135" s="32"/>
      <c r="B135" s="32"/>
      <c r="C135" s="32"/>
      <c r="D135" s="32"/>
      <c r="I135" s="32"/>
    </row>
    <row r="136" spans="1:9" ht="12.75" x14ac:dyDescent="0.2">
      <c r="A136" s="32"/>
      <c r="B136" s="32"/>
      <c r="C136" s="32"/>
      <c r="D136" s="32"/>
      <c r="I136" s="32"/>
    </row>
    <row r="137" spans="1:9" ht="12.75" x14ac:dyDescent="0.2">
      <c r="A137" s="32"/>
      <c r="B137" s="32"/>
      <c r="C137" s="32"/>
      <c r="D137" s="32"/>
      <c r="I137" s="32"/>
    </row>
    <row r="138" spans="1:9" ht="12.75" x14ac:dyDescent="0.2">
      <c r="A138" s="32"/>
      <c r="B138" s="32"/>
      <c r="C138" s="32"/>
      <c r="D138" s="32"/>
      <c r="I138" s="32"/>
    </row>
    <row r="139" spans="1:9" ht="12.75" x14ac:dyDescent="0.2">
      <c r="A139" s="32"/>
      <c r="B139" s="32"/>
      <c r="C139" s="32"/>
      <c r="D139" s="32"/>
      <c r="I139" s="32"/>
    </row>
    <row r="140" spans="1:9" ht="12.75" x14ac:dyDescent="0.2">
      <c r="A140" s="32"/>
      <c r="B140" s="32"/>
      <c r="C140" s="32"/>
      <c r="D140" s="32"/>
      <c r="I140" s="32"/>
    </row>
    <row r="141" spans="1:9" ht="12.75" x14ac:dyDescent="0.2">
      <c r="A141" s="32"/>
      <c r="B141" s="32"/>
      <c r="C141" s="32"/>
      <c r="D141" s="32"/>
      <c r="I141" s="32"/>
    </row>
    <row r="142" spans="1:9" ht="12.75" x14ac:dyDescent="0.2">
      <c r="A142" s="32"/>
      <c r="B142" s="32"/>
      <c r="C142" s="32"/>
      <c r="D142" s="32"/>
      <c r="I142" s="32"/>
    </row>
    <row r="143" spans="1:9" ht="12.75" x14ac:dyDescent="0.2">
      <c r="A143" s="32"/>
      <c r="B143" s="32"/>
      <c r="C143" s="32"/>
      <c r="D143" s="32"/>
      <c r="I143" s="32"/>
    </row>
    <row r="144" spans="1:9" ht="12.75" x14ac:dyDescent="0.2">
      <c r="A144" s="32"/>
      <c r="B144" s="32"/>
      <c r="C144" s="32"/>
      <c r="D144" s="32"/>
      <c r="I144" s="32"/>
    </row>
    <row r="145" s="32" customFormat="1" ht="12.75" x14ac:dyDescent="0.2"/>
    <row r="146" s="32" customFormat="1" ht="12.75" x14ac:dyDescent="0.2"/>
    <row r="147" s="32" customFormat="1" ht="12.75" x14ac:dyDescent="0.2"/>
    <row r="148" s="32" customFormat="1" ht="12.75" x14ac:dyDescent="0.2"/>
    <row r="149" s="32" customFormat="1" ht="12.75" x14ac:dyDescent="0.2"/>
    <row r="150" s="32" customFormat="1" ht="12.75" x14ac:dyDescent="0.2"/>
    <row r="151" s="32" customFormat="1" ht="12.75" x14ac:dyDescent="0.2"/>
    <row r="152" s="32" customFormat="1" ht="12.75" x14ac:dyDescent="0.2"/>
    <row r="153" s="32" customFormat="1" ht="12.75" x14ac:dyDescent="0.2"/>
    <row r="154" s="32" customFormat="1" ht="12.75" x14ac:dyDescent="0.2"/>
    <row r="155" s="32" customFormat="1" ht="12.75" x14ac:dyDescent="0.2"/>
    <row r="156" s="32" customFormat="1" ht="12.75" x14ac:dyDescent="0.2"/>
    <row r="157" s="32" customFormat="1" ht="12.75" x14ac:dyDescent="0.2"/>
    <row r="158" s="32" customFormat="1" ht="12.75" x14ac:dyDescent="0.2"/>
    <row r="159" s="32" customFormat="1" ht="12.75" x14ac:dyDescent="0.2"/>
    <row r="160" s="32" customFormat="1" ht="12.75" x14ac:dyDescent="0.2"/>
    <row r="161" s="32" customFormat="1" ht="12.75" x14ac:dyDescent="0.2"/>
    <row r="162" s="32" customFormat="1" ht="12.75" x14ac:dyDescent="0.2"/>
    <row r="163" s="32" customFormat="1" ht="12.75" x14ac:dyDescent="0.2"/>
    <row r="164" s="32" customFormat="1" ht="12.75" x14ac:dyDescent="0.2"/>
    <row r="165" s="32" customFormat="1" ht="12.75" x14ac:dyDescent="0.2"/>
    <row r="166" s="32" customFormat="1" ht="12.75" x14ac:dyDescent="0.2"/>
    <row r="167" s="32" customFormat="1" ht="12.75" x14ac:dyDescent="0.2"/>
    <row r="168" s="32" customFormat="1" ht="12.75" x14ac:dyDescent="0.2"/>
    <row r="169" s="32" customFormat="1" ht="12.75" x14ac:dyDescent="0.2"/>
    <row r="170" s="32" customFormat="1" ht="12.75" x14ac:dyDescent="0.2"/>
    <row r="171" s="32" customFormat="1" ht="12.75" x14ac:dyDescent="0.2"/>
    <row r="172" s="32" customFormat="1" ht="12.75" x14ac:dyDescent="0.2"/>
    <row r="173" s="32" customFormat="1" ht="12.75" x14ac:dyDescent="0.2"/>
    <row r="174" s="32" customFormat="1" ht="12.75" x14ac:dyDescent="0.2"/>
    <row r="175" s="32" customFormat="1" ht="12.75" x14ac:dyDescent="0.2"/>
    <row r="176" s="32" customFormat="1" ht="12.75" x14ac:dyDescent="0.2"/>
    <row r="177" s="32" customFormat="1" ht="12.75" x14ac:dyDescent="0.2"/>
    <row r="178" s="32" customFormat="1" ht="12.75" x14ac:dyDescent="0.2"/>
    <row r="179" s="32" customFormat="1" ht="12.75" x14ac:dyDescent="0.2"/>
    <row r="180" s="32" customFormat="1" ht="12.75" x14ac:dyDescent="0.2"/>
    <row r="181" s="32" customFormat="1" ht="12.75" x14ac:dyDescent="0.2"/>
    <row r="182" s="32" customFormat="1" ht="12.75" x14ac:dyDescent="0.2"/>
    <row r="183" s="32" customFormat="1" ht="12.75" x14ac:dyDescent="0.2"/>
    <row r="184" s="32" customFormat="1" ht="12.75" x14ac:dyDescent="0.2"/>
    <row r="185" s="32" customFormat="1" ht="12.75" x14ac:dyDescent="0.2"/>
    <row r="186" s="32" customFormat="1" ht="12.75" x14ac:dyDescent="0.2"/>
    <row r="187" s="32" customFormat="1" ht="12.75" x14ac:dyDescent="0.2"/>
    <row r="188" s="32" customFormat="1" ht="12.75" x14ac:dyDescent="0.2"/>
    <row r="189" s="32" customFormat="1" ht="12.75" x14ac:dyDescent="0.2"/>
    <row r="190" s="32" customFormat="1" ht="12.75" x14ac:dyDescent="0.2"/>
    <row r="191" s="32" customFormat="1" ht="12.75" x14ac:dyDescent="0.2"/>
    <row r="192" s="32" customFormat="1" ht="12.75" x14ac:dyDescent="0.2"/>
    <row r="193" s="32" customFormat="1" ht="12.75" x14ac:dyDescent="0.2"/>
    <row r="194" s="32" customFormat="1" ht="12.75" x14ac:dyDescent="0.2"/>
    <row r="195" s="32" customFormat="1" ht="12.75" x14ac:dyDescent="0.2"/>
    <row r="196" s="32" customFormat="1" ht="12.75" x14ac:dyDescent="0.2"/>
    <row r="197" s="32" customFormat="1" ht="12.75" x14ac:dyDescent="0.2"/>
    <row r="198" s="32" customFormat="1" ht="12.75" x14ac:dyDescent="0.2"/>
    <row r="199" s="32" customFormat="1" ht="12.75" x14ac:dyDescent="0.2"/>
    <row r="200" s="32" customFormat="1" ht="12.75" x14ac:dyDescent="0.2"/>
    <row r="201" s="32" customFormat="1" ht="12.75" x14ac:dyDescent="0.2"/>
    <row r="202" s="32" customFormat="1" ht="12.75" x14ac:dyDescent="0.2"/>
    <row r="203" s="32" customFormat="1" ht="12.75" x14ac:dyDescent="0.2"/>
    <row r="204" s="32" customFormat="1" ht="12.75" x14ac:dyDescent="0.2"/>
    <row r="205" s="32" customFormat="1" ht="12.75" x14ac:dyDescent="0.2"/>
    <row r="206" s="32" customFormat="1" ht="12.75" x14ac:dyDescent="0.2"/>
    <row r="207" s="32" customFormat="1" ht="12.75" x14ac:dyDescent="0.2"/>
    <row r="208" s="32" customFormat="1" ht="12.75" x14ac:dyDescent="0.2"/>
    <row r="209" s="32" customFormat="1" ht="12.75" x14ac:dyDescent="0.2"/>
    <row r="210" s="32" customFormat="1" ht="12.75" x14ac:dyDescent="0.2"/>
    <row r="211" s="32" customFormat="1" ht="12.75" x14ac:dyDescent="0.2"/>
    <row r="212" s="32" customFormat="1" ht="12.75" x14ac:dyDescent="0.2"/>
    <row r="213" s="32" customFormat="1" ht="12.75" x14ac:dyDescent="0.2"/>
    <row r="214" s="32" customFormat="1" ht="12.75" x14ac:dyDescent="0.2"/>
    <row r="215" s="32" customFormat="1" ht="12.75" x14ac:dyDescent="0.2"/>
    <row r="216" s="32" customFormat="1" ht="12.75" x14ac:dyDescent="0.2"/>
    <row r="217" s="32" customFormat="1" ht="12.75" x14ac:dyDescent="0.2"/>
    <row r="218" s="32" customFormat="1" ht="12.75" x14ac:dyDescent="0.2"/>
    <row r="219" s="32" customFormat="1" ht="12.75" x14ac:dyDescent="0.2"/>
    <row r="220" s="32" customFormat="1" ht="12.75" x14ac:dyDescent="0.2"/>
    <row r="221" s="32" customFormat="1" ht="12.75" x14ac:dyDescent="0.2"/>
    <row r="222" s="32" customFormat="1" ht="12.75" x14ac:dyDescent="0.2"/>
    <row r="223" s="32" customFormat="1" ht="12.75" x14ac:dyDescent="0.2"/>
    <row r="224" s="32" customFormat="1" ht="12.75" x14ac:dyDescent="0.2"/>
    <row r="225" s="32" customFormat="1" ht="12.75" x14ac:dyDescent="0.2"/>
    <row r="226" s="32" customFormat="1" ht="12.75" x14ac:dyDescent="0.2"/>
    <row r="227" s="32" customFormat="1" ht="12.75" x14ac:dyDescent="0.2"/>
    <row r="228" s="32" customFormat="1" ht="12.75" x14ac:dyDescent="0.2"/>
    <row r="229" s="32" customFormat="1" ht="12.75" x14ac:dyDescent="0.2"/>
    <row r="230" s="32" customFormat="1" ht="12.75" x14ac:dyDescent="0.2"/>
    <row r="231" s="32" customFormat="1" ht="12.75" x14ac:dyDescent="0.2"/>
    <row r="232" s="32" customFormat="1" ht="12.75" x14ac:dyDescent="0.2"/>
    <row r="233" s="32" customFormat="1" ht="12.75" x14ac:dyDescent="0.2"/>
    <row r="234" s="32" customFormat="1" ht="12.75" x14ac:dyDescent="0.2"/>
    <row r="235" s="32" customFormat="1" ht="12.75" x14ac:dyDescent="0.2"/>
    <row r="236" s="32" customFormat="1" ht="12.75" x14ac:dyDescent="0.2"/>
    <row r="237" s="32" customFormat="1" ht="12.75" x14ac:dyDescent="0.2"/>
    <row r="238" s="32" customFormat="1" ht="12.75" x14ac:dyDescent="0.2"/>
    <row r="239" s="32" customFormat="1" ht="12.75" x14ac:dyDescent="0.2"/>
    <row r="240" s="32" customFormat="1" ht="12.75" x14ac:dyDescent="0.2"/>
    <row r="241" s="32" customFormat="1" ht="12.75" x14ac:dyDescent="0.2"/>
    <row r="242" s="32" customFormat="1" ht="12.75" x14ac:dyDescent="0.2"/>
    <row r="243" s="32" customFormat="1" ht="12.75" x14ac:dyDescent="0.2"/>
    <row r="244" s="32" customFormat="1" ht="12.75" x14ac:dyDescent="0.2"/>
    <row r="245" s="32" customFormat="1" ht="12.75" x14ac:dyDescent="0.2"/>
    <row r="246" s="32" customFormat="1" ht="12.75" x14ac:dyDescent="0.2"/>
    <row r="247" s="32" customFormat="1" ht="12.75" x14ac:dyDescent="0.2"/>
    <row r="248" s="32" customFormat="1" ht="12.75" x14ac:dyDescent="0.2"/>
    <row r="249" s="32" customFormat="1" ht="12.75" x14ac:dyDescent="0.2"/>
    <row r="250" s="32" customFormat="1" ht="12.75" x14ac:dyDescent="0.2"/>
    <row r="251" s="32" customFormat="1" ht="12.75" x14ac:dyDescent="0.2"/>
    <row r="252" s="32" customFormat="1" ht="12.75" x14ac:dyDescent="0.2"/>
    <row r="253" s="32" customFormat="1" ht="12.75" x14ac:dyDescent="0.2"/>
    <row r="254" s="32" customFormat="1" ht="12.75" x14ac:dyDescent="0.2"/>
    <row r="255" s="32" customFormat="1" ht="12.75" x14ac:dyDescent="0.2"/>
    <row r="256" s="32" customFormat="1" ht="12.75" x14ac:dyDescent="0.2"/>
    <row r="257" s="32" customFormat="1" ht="12.75" x14ac:dyDescent="0.2"/>
    <row r="258" s="32" customFormat="1" ht="12.75" x14ac:dyDescent="0.2"/>
    <row r="259" s="32" customFormat="1" ht="12.75" x14ac:dyDescent="0.2"/>
    <row r="260" s="32" customFormat="1" ht="12.75" x14ac:dyDescent="0.2"/>
    <row r="261" s="32" customFormat="1" ht="12.75" x14ac:dyDescent="0.2"/>
    <row r="262" s="32" customFormat="1" ht="12.75" x14ac:dyDescent="0.2"/>
    <row r="263" s="32" customFormat="1" ht="12.75" x14ac:dyDescent="0.2"/>
    <row r="264" s="32" customFormat="1" ht="12.75" x14ac:dyDescent="0.2"/>
    <row r="265" s="32" customFormat="1" ht="12.75" x14ac:dyDescent="0.2"/>
    <row r="266" s="32" customFormat="1" ht="12.75" x14ac:dyDescent="0.2"/>
    <row r="267" s="32" customFormat="1" ht="12.75" x14ac:dyDescent="0.2"/>
    <row r="268" s="32" customFormat="1" ht="12.75" x14ac:dyDescent="0.2"/>
    <row r="269" s="32" customFormat="1" ht="12.75" x14ac:dyDescent="0.2"/>
    <row r="270" s="32" customFormat="1" ht="12.75" x14ac:dyDescent="0.2"/>
    <row r="271" s="32" customFormat="1" ht="12.75" x14ac:dyDescent="0.2"/>
    <row r="272" s="32" customFormat="1" ht="12.75" x14ac:dyDescent="0.2"/>
    <row r="273" s="32" customFormat="1" ht="12.75" x14ac:dyDescent="0.2"/>
    <row r="274" s="32" customFormat="1" ht="12.75" x14ac:dyDescent="0.2"/>
    <row r="275" s="32" customFormat="1" ht="12.75" x14ac:dyDescent="0.2"/>
    <row r="276" s="32" customFormat="1" ht="12.75" x14ac:dyDescent="0.2"/>
    <row r="277" s="32" customFormat="1" ht="12.75" x14ac:dyDescent="0.2"/>
    <row r="278" s="32" customFormat="1" ht="12.75" x14ac:dyDescent="0.2"/>
    <row r="279" s="32" customFormat="1" ht="12.75" x14ac:dyDescent="0.2"/>
    <row r="280" s="32" customFormat="1" ht="12.75" x14ac:dyDescent="0.2"/>
    <row r="281" s="32" customFormat="1" ht="12.75" x14ac:dyDescent="0.2"/>
    <row r="282" s="32" customFormat="1" ht="12.75" x14ac:dyDescent="0.2"/>
    <row r="283" s="32" customFormat="1" ht="12.75" x14ac:dyDescent="0.2"/>
    <row r="284" s="32" customFormat="1" ht="12.75" x14ac:dyDescent="0.2"/>
    <row r="285" s="32" customFormat="1" ht="12.75" x14ac:dyDescent="0.2"/>
    <row r="286" s="32" customFormat="1" ht="12.75" x14ac:dyDescent="0.2"/>
    <row r="287" s="32" customFormat="1" ht="12.75" x14ac:dyDescent="0.2"/>
    <row r="288" s="32" customFormat="1" ht="12.75" x14ac:dyDescent="0.2"/>
    <row r="289" s="32" customFormat="1" ht="12.75" x14ac:dyDescent="0.2"/>
    <row r="290" s="32" customFormat="1" ht="12.75" x14ac:dyDescent="0.2"/>
    <row r="291" s="32" customFormat="1" ht="12.75" x14ac:dyDescent="0.2"/>
    <row r="292" s="32" customFormat="1" ht="12.75" x14ac:dyDescent="0.2"/>
    <row r="293" s="32" customFormat="1" ht="12.75" x14ac:dyDescent="0.2"/>
    <row r="294" s="32" customFormat="1" ht="12.75" x14ac:dyDescent="0.2"/>
    <row r="295" s="32" customFormat="1" ht="12.75" x14ac:dyDescent="0.2"/>
    <row r="296" s="32" customFormat="1" ht="12.75" x14ac:dyDescent="0.2"/>
    <row r="297" s="32" customFormat="1" ht="12.75" x14ac:dyDescent="0.2"/>
    <row r="298" s="32" customFormat="1" ht="12.75" x14ac:dyDescent="0.2"/>
    <row r="299" s="32" customFormat="1" ht="12.75" x14ac:dyDescent="0.2"/>
    <row r="300" s="32" customFormat="1" ht="12.75" x14ac:dyDescent="0.2"/>
    <row r="301" s="32" customFormat="1" ht="12.75" x14ac:dyDescent="0.2"/>
    <row r="302" s="32" customFormat="1" ht="12.75" x14ac:dyDescent="0.2"/>
    <row r="303" s="32" customFormat="1" ht="12.75" x14ac:dyDescent="0.2"/>
    <row r="304" s="32" customFormat="1" ht="12.75" x14ac:dyDescent="0.2"/>
    <row r="305" s="32" customFormat="1" ht="12.75" x14ac:dyDescent="0.2"/>
    <row r="306" s="32" customFormat="1" ht="12.75" x14ac:dyDescent="0.2"/>
    <row r="307" s="32" customFormat="1" ht="12.75" x14ac:dyDescent="0.2"/>
    <row r="308" s="32" customFormat="1" ht="12.75" x14ac:dyDescent="0.2"/>
    <row r="309" s="32" customFormat="1" ht="12.75" x14ac:dyDescent="0.2"/>
    <row r="310" s="32" customFormat="1" ht="12.75" x14ac:dyDescent="0.2"/>
    <row r="311" s="32" customFormat="1" ht="12.75" x14ac:dyDescent="0.2"/>
    <row r="312" s="32" customFormat="1" ht="12.75" x14ac:dyDescent="0.2"/>
    <row r="313" s="32" customFormat="1" ht="12.75" x14ac:dyDescent="0.2"/>
    <row r="314" s="32" customFormat="1" ht="12.75" x14ac:dyDescent="0.2"/>
    <row r="315" s="32" customFormat="1" ht="12.75" x14ac:dyDescent="0.2"/>
    <row r="316" s="32" customFormat="1" ht="12.75" x14ac:dyDescent="0.2"/>
    <row r="317" s="32" customFormat="1" ht="12.75" x14ac:dyDescent="0.2"/>
    <row r="318" s="32" customFormat="1" ht="12.75" x14ac:dyDescent="0.2"/>
    <row r="319" s="32" customFormat="1" ht="12.75" x14ac:dyDescent="0.2"/>
    <row r="320" s="32" customFormat="1" ht="12.75" x14ac:dyDescent="0.2"/>
    <row r="321" s="32" customFormat="1" ht="12.75" x14ac:dyDescent="0.2"/>
    <row r="322" s="32" customFormat="1" ht="12.75" x14ac:dyDescent="0.2"/>
    <row r="323" s="32" customFormat="1" ht="12.75" x14ac:dyDescent="0.2"/>
    <row r="324" s="32" customFormat="1" ht="12.75" x14ac:dyDescent="0.2"/>
    <row r="325" s="32" customFormat="1" ht="12.75" x14ac:dyDescent="0.2"/>
    <row r="326" s="32" customFormat="1" ht="12.75" x14ac:dyDescent="0.2"/>
    <row r="327" s="32" customFormat="1" ht="12.75" x14ac:dyDescent="0.2"/>
    <row r="328" s="32" customFormat="1" ht="12.75" x14ac:dyDescent="0.2"/>
    <row r="329" s="32" customFormat="1" ht="12.75" x14ac:dyDescent="0.2"/>
    <row r="330" s="32" customFormat="1" ht="12.75" x14ac:dyDescent="0.2"/>
    <row r="331" s="32" customFormat="1" ht="12.75" x14ac:dyDescent="0.2"/>
    <row r="332" s="32" customFormat="1" ht="12.75" x14ac:dyDescent="0.2"/>
    <row r="333" s="32" customFormat="1" ht="12.75" x14ac:dyDescent="0.2"/>
    <row r="334" s="32" customFormat="1" ht="12.75" x14ac:dyDescent="0.2"/>
    <row r="335" s="32" customFormat="1" ht="12.75" x14ac:dyDescent="0.2"/>
    <row r="336" s="32" customFormat="1" ht="12.75" x14ac:dyDescent="0.2"/>
    <row r="337" s="32" customFormat="1" ht="12.75" x14ac:dyDescent="0.2"/>
    <row r="338" s="32" customFormat="1" ht="12.75" x14ac:dyDescent="0.2"/>
    <row r="339" s="32" customFormat="1" ht="12.75" x14ac:dyDescent="0.2"/>
    <row r="340" s="32" customFormat="1" ht="12.75" x14ac:dyDescent="0.2"/>
    <row r="341" s="32" customFormat="1" ht="12.75" x14ac:dyDescent="0.2"/>
    <row r="342" s="32" customFormat="1" ht="12.75" x14ac:dyDescent="0.2"/>
    <row r="343" s="32" customFormat="1" ht="12.75" x14ac:dyDescent="0.2"/>
    <row r="344" s="32" customFormat="1" ht="12.75" x14ac:dyDescent="0.2"/>
    <row r="345" s="32" customFormat="1" ht="12.75" x14ac:dyDescent="0.2"/>
    <row r="346" s="32" customFormat="1" ht="12.75" x14ac:dyDescent="0.2"/>
    <row r="347" s="32" customFormat="1" ht="12.75" x14ac:dyDescent="0.2"/>
    <row r="348" s="32" customFormat="1" ht="12.75" x14ac:dyDescent="0.2"/>
    <row r="349" s="32" customFormat="1" ht="12.75" x14ac:dyDescent="0.2"/>
    <row r="350" s="32" customFormat="1" ht="12.75" x14ac:dyDescent="0.2"/>
    <row r="351" s="32" customFormat="1" ht="12.75" x14ac:dyDescent="0.2"/>
    <row r="352" s="32" customFormat="1" ht="12.75" x14ac:dyDescent="0.2"/>
    <row r="353" s="32" customFormat="1" ht="12.75" x14ac:dyDescent="0.2"/>
    <row r="354" s="32" customFormat="1" ht="12.75" x14ac:dyDescent="0.2"/>
    <row r="355" s="32" customFormat="1" ht="12.75" x14ac:dyDescent="0.2"/>
    <row r="356" s="32" customFormat="1" ht="12.75" x14ac:dyDescent="0.2"/>
    <row r="357" s="32" customFormat="1" ht="12.75" x14ac:dyDescent="0.2"/>
    <row r="358" s="32" customFormat="1" ht="12.75" x14ac:dyDescent="0.2"/>
    <row r="359" s="32" customFormat="1" ht="12.75" x14ac:dyDescent="0.2"/>
    <row r="360" s="32" customFormat="1" ht="12.75" x14ac:dyDescent="0.2"/>
    <row r="361" s="32" customFormat="1" ht="12.75" x14ac:dyDescent="0.2"/>
    <row r="362" s="32" customFormat="1" ht="12.75" x14ac:dyDescent="0.2"/>
    <row r="363" s="32" customFormat="1" ht="12.75" x14ac:dyDescent="0.2"/>
    <row r="364" s="32" customFormat="1" ht="12.75" x14ac:dyDescent="0.2"/>
    <row r="365" s="32" customFormat="1" ht="12.75" x14ac:dyDescent="0.2"/>
    <row r="366" s="32" customFormat="1" ht="12.75" x14ac:dyDescent="0.2"/>
    <row r="367" s="32" customFormat="1" ht="12.75" x14ac:dyDescent="0.2"/>
    <row r="368" s="32" customFormat="1" ht="12.75" x14ac:dyDescent="0.2"/>
    <row r="369" s="32" customFormat="1" ht="12.75" x14ac:dyDescent="0.2"/>
    <row r="370" s="32" customFormat="1" ht="12.75" x14ac:dyDescent="0.2"/>
    <row r="371" s="32" customFormat="1" ht="12.75" x14ac:dyDescent="0.2"/>
    <row r="372" s="32" customFormat="1" ht="12.75" x14ac:dyDescent="0.2"/>
    <row r="373" s="32" customFormat="1" ht="12.75" x14ac:dyDescent="0.2"/>
    <row r="374" s="32" customFormat="1" ht="12.75" x14ac:dyDescent="0.2"/>
    <row r="375" s="32" customFormat="1" ht="12.75" x14ac:dyDescent="0.2"/>
    <row r="376" s="32" customFormat="1" ht="12.75" x14ac:dyDescent="0.2"/>
    <row r="377" s="32" customFormat="1" ht="12.75" x14ac:dyDescent="0.2"/>
    <row r="378" s="32" customFormat="1" ht="12.75" x14ac:dyDescent="0.2"/>
    <row r="379" s="32" customFormat="1" ht="12.75" x14ac:dyDescent="0.2"/>
    <row r="380" s="32" customFormat="1" ht="12.75" x14ac:dyDescent="0.2"/>
    <row r="381" s="32" customFormat="1" ht="12.75" x14ac:dyDescent="0.2"/>
    <row r="382" s="32" customFormat="1" ht="12.75" x14ac:dyDescent="0.2"/>
    <row r="383" s="32" customFormat="1" ht="12.75" x14ac:dyDescent="0.2"/>
    <row r="384" s="32" customFormat="1" ht="12.75" x14ac:dyDescent="0.2"/>
    <row r="385" s="32" customFormat="1" ht="12.75" x14ac:dyDescent="0.2"/>
    <row r="386" s="32" customFormat="1" ht="12.75" x14ac:dyDescent="0.2"/>
    <row r="387" s="32" customFormat="1" ht="12.75" x14ac:dyDescent="0.2"/>
    <row r="388" s="32" customFormat="1" ht="12.75" x14ac:dyDescent="0.2"/>
    <row r="389" s="32" customFormat="1" ht="12.75" x14ac:dyDescent="0.2"/>
    <row r="390" s="32" customFormat="1" ht="12.75" x14ac:dyDescent="0.2"/>
    <row r="391" s="32" customFormat="1" ht="12.75" x14ac:dyDescent="0.2"/>
    <row r="392" s="32" customFormat="1" ht="12.75" x14ac:dyDescent="0.2"/>
    <row r="393" s="32" customFormat="1" ht="12.75" x14ac:dyDescent="0.2"/>
    <row r="394" s="32" customFormat="1" ht="12.75" x14ac:dyDescent="0.2"/>
    <row r="395" s="32" customFormat="1" ht="12.75" x14ac:dyDescent="0.2"/>
    <row r="396" s="32" customFormat="1" ht="12.75" x14ac:dyDescent="0.2"/>
    <row r="397" s="32" customFormat="1" ht="12.75" x14ac:dyDescent="0.2"/>
    <row r="398" s="32" customFormat="1" ht="12.75" x14ac:dyDescent="0.2"/>
    <row r="399" s="32" customFormat="1" ht="12.75" x14ac:dyDescent="0.2"/>
    <row r="400" s="32" customFormat="1" ht="12.75" x14ac:dyDescent="0.2"/>
    <row r="401" s="32" customFormat="1" ht="12.75" x14ac:dyDescent="0.2"/>
    <row r="402" s="32" customFormat="1" ht="12.75" x14ac:dyDescent="0.2"/>
    <row r="403" s="32" customFormat="1" ht="12.75" x14ac:dyDescent="0.2"/>
    <row r="404" s="32" customFormat="1" ht="12.75" x14ac:dyDescent="0.2"/>
    <row r="405" s="32" customFormat="1" ht="12.75" x14ac:dyDescent="0.2"/>
    <row r="406" s="32" customFormat="1" ht="12.75" x14ac:dyDescent="0.2"/>
    <row r="407" s="32" customFormat="1" ht="12.75" x14ac:dyDescent="0.2"/>
    <row r="408" s="32" customFormat="1" ht="12.75" x14ac:dyDescent="0.2"/>
    <row r="409" s="32" customFormat="1" ht="12.75" x14ac:dyDescent="0.2"/>
    <row r="410" s="32" customFormat="1" ht="12.75" x14ac:dyDescent="0.2"/>
    <row r="411" s="32" customFormat="1" ht="12.75" x14ac:dyDescent="0.2"/>
    <row r="412" s="32" customFormat="1" ht="12.75" x14ac:dyDescent="0.2"/>
    <row r="413" s="32" customFormat="1" ht="12.75" x14ac:dyDescent="0.2"/>
    <row r="414" s="32" customFormat="1" ht="12.75" x14ac:dyDescent="0.2"/>
    <row r="415" s="32" customFormat="1" ht="12.75" x14ac:dyDescent="0.2"/>
    <row r="416" s="32" customFormat="1" ht="12.75" x14ac:dyDescent="0.2"/>
    <row r="417" s="32" customFormat="1" ht="12.75" x14ac:dyDescent="0.2"/>
    <row r="418" s="32" customFormat="1" ht="12.75" x14ac:dyDescent="0.2"/>
    <row r="419" s="32" customFormat="1" ht="12.75" x14ac:dyDescent="0.2"/>
    <row r="420" s="32" customFormat="1" ht="12.75" x14ac:dyDescent="0.2"/>
    <row r="421" s="32" customFormat="1" ht="12.75" x14ac:dyDescent="0.2"/>
    <row r="422" s="32" customFormat="1" ht="12.75" x14ac:dyDescent="0.2"/>
    <row r="423" s="32" customFormat="1" ht="12.75" x14ac:dyDescent="0.2"/>
    <row r="424" s="32" customFormat="1" ht="12.75" x14ac:dyDescent="0.2"/>
    <row r="425" s="32" customFormat="1" ht="12.75" x14ac:dyDescent="0.2"/>
    <row r="426" s="32" customFormat="1" ht="12.75" x14ac:dyDescent="0.2"/>
    <row r="427" s="32" customFormat="1" ht="12.75" x14ac:dyDescent="0.2"/>
    <row r="428" s="32" customFormat="1" ht="12.75" x14ac:dyDescent="0.2"/>
    <row r="429" s="32" customFormat="1" ht="12.75" x14ac:dyDescent="0.2"/>
    <row r="430" s="32" customFormat="1" ht="12.75" x14ac:dyDescent="0.2"/>
    <row r="431" s="32" customFormat="1" ht="12.75" x14ac:dyDescent="0.2"/>
    <row r="432" s="32" customFormat="1" ht="12.75" x14ac:dyDescent="0.2"/>
    <row r="433" s="32" customFormat="1" ht="12.75" x14ac:dyDescent="0.2"/>
    <row r="434" s="32" customFormat="1" ht="12.75" x14ac:dyDescent="0.2"/>
    <row r="435" s="32" customFormat="1" ht="12.75" x14ac:dyDescent="0.2"/>
    <row r="436" s="32" customFormat="1" ht="12.75" x14ac:dyDescent="0.2"/>
    <row r="437" s="32" customFormat="1" ht="12.75" x14ac:dyDescent="0.2"/>
    <row r="438" s="32" customFormat="1" ht="12.75" x14ac:dyDescent="0.2"/>
    <row r="439" s="32" customFormat="1" ht="12.75" x14ac:dyDescent="0.2"/>
    <row r="440" s="32" customFormat="1" ht="12.75" x14ac:dyDescent="0.2"/>
    <row r="441" s="32" customFormat="1" ht="12.75" x14ac:dyDescent="0.2"/>
    <row r="442" s="32" customFormat="1" ht="12.75" x14ac:dyDescent="0.2"/>
    <row r="443" s="32" customFormat="1" ht="12.75" x14ac:dyDescent="0.2"/>
    <row r="444" s="32" customFormat="1" ht="12.75" x14ac:dyDescent="0.2"/>
    <row r="445" s="32" customFormat="1" ht="12.75" x14ac:dyDescent="0.2"/>
    <row r="446" s="32" customFormat="1" ht="12.75" x14ac:dyDescent="0.2"/>
    <row r="447" s="32" customFormat="1" ht="12.75" x14ac:dyDescent="0.2"/>
    <row r="448" s="32" customFormat="1" ht="12.75" x14ac:dyDescent="0.2"/>
    <row r="449" s="32" customFormat="1" ht="12.75" x14ac:dyDescent="0.2"/>
    <row r="450" s="32" customFormat="1" ht="12.75" x14ac:dyDescent="0.2"/>
    <row r="451" s="32" customFormat="1" ht="12.75" x14ac:dyDescent="0.2"/>
    <row r="452" s="32" customFormat="1" ht="12.75" x14ac:dyDescent="0.2"/>
    <row r="453" s="32" customFormat="1" ht="12.75" x14ac:dyDescent="0.2"/>
    <row r="454" s="32" customFormat="1" ht="12.75" x14ac:dyDescent="0.2"/>
    <row r="455" s="32" customFormat="1" ht="12.75" x14ac:dyDescent="0.2"/>
    <row r="456" s="32" customFormat="1" ht="12.75" x14ac:dyDescent="0.2"/>
    <row r="457" s="32" customFormat="1" ht="12.75" x14ac:dyDescent="0.2"/>
    <row r="458" s="32" customFormat="1" ht="12.75" x14ac:dyDescent="0.2"/>
    <row r="459" s="32" customFormat="1" ht="12.75" x14ac:dyDescent="0.2"/>
    <row r="460" s="32" customFormat="1" ht="12.75" x14ac:dyDescent="0.2"/>
    <row r="461" s="32" customFormat="1" ht="12.75" x14ac:dyDescent="0.2"/>
    <row r="462" s="32" customFormat="1" ht="12.75" x14ac:dyDescent="0.2"/>
    <row r="463" s="32" customFormat="1" ht="12.75" x14ac:dyDescent="0.2"/>
    <row r="464" s="32" customFormat="1" ht="12.75" x14ac:dyDescent="0.2"/>
    <row r="465" s="32" customFormat="1" ht="12.75" x14ac:dyDescent="0.2"/>
    <row r="466" s="32" customFormat="1" ht="12.75" x14ac:dyDescent="0.2"/>
    <row r="467" s="32" customFormat="1" ht="12.75" x14ac:dyDescent="0.2"/>
    <row r="468" s="32" customFormat="1" ht="12.75" x14ac:dyDescent="0.2"/>
    <row r="469" s="32" customFormat="1" ht="12.75" x14ac:dyDescent="0.2"/>
    <row r="470" s="32" customFormat="1" ht="12.75" x14ac:dyDescent="0.2"/>
    <row r="471" s="32" customFormat="1" ht="12.75" x14ac:dyDescent="0.2"/>
    <row r="472" s="32" customFormat="1" ht="12.75" x14ac:dyDescent="0.2"/>
    <row r="473" s="32" customFormat="1" ht="12.75" x14ac:dyDescent="0.2"/>
    <row r="474" s="32" customFormat="1" ht="12.75" x14ac:dyDescent="0.2"/>
    <row r="475" s="32" customFormat="1" ht="12.75" x14ac:dyDescent="0.2"/>
    <row r="476" s="32" customFormat="1" ht="12.75" x14ac:dyDescent="0.2"/>
    <row r="477" s="32" customFormat="1" ht="12.75" x14ac:dyDescent="0.2"/>
    <row r="478" s="32" customFormat="1" ht="12.75" x14ac:dyDescent="0.2"/>
    <row r="479" s="32" customFormat="1" ht="12.75" x14ac:dyDescent="0.2"/>
    <row r="480" s="32" customFormat="1" ht="12.75" x14ac:dyDescent="0.2"/>
    <row r="481" s="32" customFormat="1" ht="12.75" x14ac:dyDescent="0.2"/>
    <row r="482" s="32" customFormat="1" ht="12.75" x14ac:dyDescent="0.2"/>
    <row r="483" s="32" customFormat="1" ht="12.75" x14ac:dyDescent="0.2"/>
    <row r="484" s="32" customFormat="1" ht="12.75" x14ac:dyDescent="0.2"/>
    <row r="485" s="32" customFormat="1" ht="12.75" x14ac:dyDescent="0.2"/>
    <row r="486" s="32" customFormat="1" ht="12.75" x14ac:dyDescent="0.2"/>
    <row r="487" s="32" customFormat="1" ht="12.75" x14ac:dyDescent="0.2"/>
    <row r="488" s="32" customFormat="1" ht="12.75" x14ac:dyDescent="0.2"/>
    <row r="489" s="32" customFormat="1" ht="12.75" x14ac:dyDescent="0.2"/>
    <row r="490" s="32" customFormat="1" ht="12.75" x14ac:dyDescent="0.2"/>
    <row r="491" s="32" customFormat="1" ht="12.75" x14ac:dyDescent="0.2"/>
    <row r="492" s="32" customFormat="1" ht="12.75" x14ac:dyDescent="0.2"/>
    <row r="493" s="32" customFormat="1" ht="12.75" x14ac:dyDescent="0.2"/>
    <row r="494" s="32" customFormat="1" ht="12.75" x14ac:dyDescent="0.2"/>
    <row r="495" s="32" customFormat="1" ht="12.75" x14ac:dyDescent="0.2"/>
    <row r="496" s="32" customFormat="1" ht="12.75" x14ac:dyDescent="0.2"/>
    <row r="497" s="32" customFormat="1" ht="12.75" x14ac:dyDescent="0.2"/>
    <row r="498" s="32" customFormat="1" ht="12.75" x14ac:dyDescent="0.2"/>
    <row r="499" s="32" customFormat="1" ht="12.75" x14ac:dyDescent="0.2"/>
    <row r="500" s="32" customFormat="1" ht="12.75" x14ac:dyDescent="0.2"/>
    <row r="501" s="32" customFormat="1" ht="12.75" x14ac:dyDescent="0.2"/>
    <row r="502" s="32" customFormat="1" ht="12.75" x14ac:dyDescent="0.2"/>
    <row r="503" s="32" customFormat="1" ht="12.75" x14ac:dyDescent="0.2"/>
    <row r="504" s="32" customFormat="1" ht="12.75" x14ac:dyDescent="0.2"/>
    <row r="505" s="32" customFormat="1" ht="12.75" x14ac:dyDescent="0.2"/>
    <row r="506" s="32" customFormat="1" ht="12.75" x14ac:dyDescent="0.2"/>
    <row r="507" s="32" customFormat="1" ht="12.75" x14ac:dyDescent="0.2"/>
    <row r="508" s="32" customFormat="1" ht="12.75" x14ac:dyDescent="0.2"/>
    <row r="509" s="32" customFormat="1" ht="12.75" x14ac:dyDescent="0.2"/>
    <row r="510" s="32" customFormat="1" ht="12.75" x14ac:dyDescent="0.2"/>
    <row r="511" s="32" customFormat="1" ht="12.75" x14ac:dyDescent="0.2"/>
    <row r="512" s="32" customFormat="1" ht="12.75" x14ac:dyDescent="0.2"/>
    <row r="513" s="32" customFormat="1" ht="12.75" x14ac:dyDescent="0.2"/>
    <row r="514" s="32" customFormat="1" ht="12.75" x14ac:dyDescent="0.2"/>
    <row r="515" s="32" customFormat="1" ht="12.75" x14ac:dyDescent="0.2"/>
    <row r="516" s="32" customFormat="1" ht="12.75" x14ac:dyDescent="0.2"/>
    <row r="517" s="32" customFormat="1" ht="12.75" x14ac:dyDescent="0.2"/>
    <row r="518" s="32" customFormat="1" ht="12.75" x14ac:dyDescent="0.2"/>
    <row r="519" s="32" customFormat="1" ht="12.75" x14ac:dyDescent="0.2"/>
    <row r="520" s="32" customFormat="1" ht="12.75" x14ac:dyDescent="0.2"/>
    <row r="521" s="32" customFormat="1" ht="12.75" x14ac:dyDescent="0.2"/>
    <row r="522" s="32" customFormat="1" ht="12.75" x14ac:dyDescent="0.2"/>
    <row r="523" s="32" customFormat="1" ht="12.75" x14ac:dyDescent="0.2"/>
    <row r="524" s="32" customFormat="1" ht="12.75" x14ac:dyDescent="0.2"/>
    <row r="525" s="32" customFormat="1" ht="12.75" x14ac:dyDescent="0.2"/>
    <row r="526" s="32" customFormat="1" ht="12.75" x14ac:dyDescent="0.2"/>
    <row r="527" s="32" customFormat="1" ht="12.75" x14ac:dyDescent="0.2"/>
    <row r="528" s="32" customFormat="1" ht="12.75" x14ac:dyDescent="0.2"/>
    <row r="529" s="32" customFormat="1" ht="12.75" x14ac:dyDescent="0.2"/>
    <row r="530" s="32" customFormat="1" ht="12.75" x14ac:dyDescent="0.2"/>
    <row r="531" s="32" customFormat="1" ht="12.75" x14ac:dyDescent="0.2"/>
    <row r="532" s="32" customFormat="1" ht="12.75" x14ac:dyDescent="0.2"/>
    <row r="533" s="32" customFormat="1" ht="12.75" x14ac:dyDescent="0.2"/>
    <row r="534" s="32" customFormat="1" ht="12.75" x14ac:dyDescent="0.2"/>
    <row r="535" s="32" customFormat="1" ht="12.75" x14ac:dyDescent="0.2"/>
    <row r="536" s="32" customFormat="1" ht="12.75" x14ac:dyDescent="0.2"/>
    <row r="537" s="32" customFormat="1" ht="12.75" x14ac:dyDescent="0.2"/>
    <row r="538" s="32" customFormat="1" ht="12.75" x14ac:dyDescent="0.2"/>
    <row r="539" s="32" customFormat="1" ht="12.75" x14ac:dyDescent="0.2"/>
    <row r="540" s="32" customFormat="1" ht="12.75" x14ac:dyDescent="0.2"/>
    <row r="541" s="32" customFormat="1" ht="12.75" x14ac:dyDescent="0.2"/>
    <row r="542" s="32" customFormat="1" ht="12.75" x14ac:dyDescent="0.2"/>
    <row r="543" s="32" customFormat="1" ht="12.75" x14ac:dyDescent="0.2"/>
    <row r="544" s="32" customFormat="1" ht="12.75" x14ac:dyDescent="0.2"/>
    <row r="545" s="32" customFormat="1" ht="12.75" x14ac:dyDescent="0.2"/>
    <row r="546" s="32" customFormat="1" ht="12.75" x14ac:dyDescent="0.2"/>
    <row r="547" s="32" customFormat="1" ht="12.75" x14ac:dyDescent="0.2"/>
    <row r="548" s="32" customFormat="1" ht="12.75" x14ac:dyDescent="0.2"/>
    <row r="549" s="32" customFormat="1" ht="12.75" x14ac:dyDescent="0.2"/>
    <row r="550" s="32" customFormat="1" ht="12.75" x14ac:dyDescent="0.2"/>
    <row r="551" s="32" customFormat="1" ht="12.75" x14ac:dyDescent="0.2"/>
    <row r="552" s="32" customFormat="1" ht="12.75" x14ac:dyDescent="0.2"/>
    <row r="553" s="32" customFormat="1" ht="12.75" x14ac:dyDescent="0.2"/>
    <row r="554" s="32" customFormat="1" ht="12.75" x14ac:dyDescent="0.2"/>
    <row r="555" s="32" customFormat="1" ht="12.75" x14ac:dyDescent="0.2"/>
    <row r="556" s="32" customFormat="1" ht="12.75" x14ac:dyDescent="0.2"/>
    <row r="557" s="32" customFormat="1" ht="12.75" x14ac:dyDescent="0.2"/>
    <row r="558" s="32" customFormat="1" ht="12.75" x14ac:dyDescent="0.2"/>
    <row r="559" s="32" customFormat="1" ht="12.75" x14ac:dyDescent="0.2"/>
    <row r="560" s="32" customFormat="1" ht="12.75" x14ac:dyDescent="0.2"/>
    <row r="561" s="32" customFormat="1" ht="12.75" x14ac:dyDescent="0.2"/>
    <row r="562" s="32" customFormat="1" ht="12.75" x14ac:dyDescent="0.2"/>
    <row r="563" s="32" customFormat="1" ht="12.75" x14ac:dyDescent="0.2"/>
    <row r="564" s="32" customFormat="1" ht="12.75" x14ac:dyDescent="0.2"/>
    <row r="565" s="32" customFormat="1" ht="12.75" x14ac:dyDescent="0.2"/>
    <row r="566" s="32" customFormat="1" ht="12.75" x14ac:dyDescent="0.2"/>
    <row r="567" s="32" customFormat="1" ht="12.75" x14ac:dyDescent="0.2"/>
    <row r="568" s="32" customFormat="1" ht="12.75" x14ac:dyDescent="0.2"/>
    <row r="569" s="32" customFormat="1" ht="12.75" x14ac:dyDescent="0.2"/>
    <row r="570" s="32" customFormat="1" ht="12.75" x14ac:dyDescent="0.2"/>
    <row r="571" s="32" customFormat="1" ht="12.75" x14ac:dyDescent="0.2"/>
    <row r="572" s="32" customFormat="1" ht="12.75" x14ac:dyDescent="0.2"/>
    <row r="573" s="32" customFormat="1" ht="12.75" x14ac:dyDescent="0.2"/>
    <row r="574" s="32" customFormat="1" ht="12.75" x14ac:dyDescent="0.2"/>
    <row r="575" s="32" customFormat="1" ht="12.75" x14ac:dyDescent="0.2"/>
    <row r="576" s="32" customFormat="1" ht="12.75" x14ac:dyDescent="0.2"/>
    <row r="577" s="32" customFormat="1" ht="12.75" x14ac:dyDescent="0.2"/>
    <row r="578" s="32" customFormat="1" ht="12.75" x14ac:dyDescent="0.2"/>
    <row r="579" s="32" customFormat="1" ht="12.75" x14ac:dyDescent="0.2"/>
    <row r="580" s="32" customFormat="1" ht="12.75" x14ac:dyDescent="0.2"/>
    <row r="581" s="32" customFormat="1" ht="12.75" x14ac:dyDescent="0.2"/>
    <row r="582" s="32" customFormat="1" ht="12.75" x14ac:dyDescent="0.2"/>
    <row r="583" s="32" customFormat="1" ht="12.75" x14ac:dyDescent="0.2"/>
    <row r="584" s="32" customFormat="1" ht="12.75" x14ac:dyDescent="0.2"/>
    <row r="585" s="32" customFormat="1" ht="12.75" x14ac:dyDescent="0.2"/>
    <row r="586" s="32" customFormat="1" ht="12.75" x14ac:dyDescent="0.2"/>
    <row r="587" s="32" customFormat="1" ht="12.75" x14ac:dyDescent="0.2"/>
    <row r="588" s="32" customFormat="1" ht="12.75" x14ac:dyDescent="0.2"/>
    <row r="589" s="32" customFormat="1" ht="12.75" x14ac:dyDescent="0.2"/>
    <row r="590" s="32" customFormat="1" ht="12.75" x14ac:dyDescent="0.2"/>
    <row r="591" s="32" customFormat="1" ht="12.75" x14ac:dyDescent="0.2"/>
    <row r="592" s="32" customFormat="1" ht="12.75" x14ac:dyDescent="0.2"/>
    <row r="593" s="32" customFormat="1" ht="12.75" x14ac:dyDescent="0.2"/>
    <row r="594" s="32" customFormat="1" ht="12.75" x14ac:dyDescent="0.2"/>
    <row r="595" s="32" customFormat="1" ht="12.75" x14ac:dyDescent="0.2"/>
    <row r="596" s="32" customFormat="1" ht="12.75" x14ac:dyDescent="0.2"/>
    <row r="597" s="32" customFormat="1" ht="12.75" x14ac:dyDescent="0.2"/>
    <row r="598" s="32" customFormat="1" ht="12.75" x14ac:dyDescent="0.2"/>
    <row r="599" s="32" customFormat="1" ht="12.75" x14ac:dyDescent="0.2"/>
    <row r="600" s="32" customFormat="1" ht="12.75" x14ac:dyDescent="0.2"/>
    <row r="601" s="32" customFormat="1" ht="12.75" x14ac:dyDescent="0.2"/>
    <row r="602" s="32" customFormat="1" ht="12.75" x14ac:dyDescent="0.2"/>
    <row r="603" s="32" customFormat="1" ht="12.75" x14ac:dyDescent="0.2"/>
    <row r="604" s="32" customFormat="1" ht="12.75" x14ac:dyDescent="0.2"/>
    <row r="605" s="32" customFormat="1" ht="12.75" x14ac:dyDescent="0.2"/>
    <row r="606" s="32" customFormat="1" ht="12.75" x14ac:dyDescent="0.2"/>
    <row r="607" s="32" customFormat="1" ht="12.75" x14ac:dyDescent="0.2"/>
    <row r="608" s="32" customFormat="1" ht="12.75" x14ac:dyDescent="0.2"/>
    <row r="609" s="32" customFormat="1" ht="12.75" x14ac:dyDescent="0.2"/>
    <row r="610" s="32" customFormat="1" ht="12.75" x14ac:dyDescent="0.2"/>
    <row r="611" s="32" customFormat="1" ht="12.75" x14ac:dyDescent="0.2"/>
    <row r="612" s="32" customFormat="1" ht="12.75" x14ac:dyDescent="0.2"/>
    <row r="613" s="32" customFormat="1" ht="12.75" x14ac:dyDescent="0.2"/>
    <row r="614" s="32" customFormat="1" ht="12.75" x14ac:dyDescent="0.2"/>
    <row r="615" s="32" customFormat="1" ht="12.75" x14ac:dyDescent="0.2"/>
    <row r="616" s="32" customFormat="1" ht="12.75" x14ac:dyDescent="0.2"/>
    <row r="617" s="32" customFormat="1" ht="12.75" x14ac:dyDescent="0.2"/>
    <row r="618" s="32" customFormat="1" ht="12.75" x14ac:dyDescent="0.2"/>
    <row r="619" s="32" customFormat="1" ht="12.75" x14ac:dyDescent="0.2"/>
    <row r="620" s="32" customFormat="1" ht="12.75" x14ac:dyDescent="0.2"/>
    <row r="621" s="32" customFormat="1" ht="12.75" x14ac:dyDescent="0.2"/>
    <row r="622" s="32" customFormat="1" ht="12.75" x14ac:dyDescent="0.2"/>
    <row r="623" s="32" customFormat="1" ht="12.75" x14ac:dyDescent="0.2"/>
    <row r="624" s="32" customFormat="1" ht="12.75" x14ac:dyDescent="0.2"/>
    <row r="625" s="32" customFormat="1" ht="12.75" x14ac:dyDescent="0.2"/>
    <row r="626" s="32" customFormat="1" ht="12.75" x14ac:dyDescent="0.2"/>
    <row r="627" s="32" customFormat="1" ht="12.75" x14ac:dyDescent="0.2"/>
    <row r="628" s="32" customFormat="1" ht="12.75" x14ac:dyDescent="0.2"/>
    <row r="629" s="32" customFormat="1" ht="12.75" x14ac:dyDescent="0.2"/>
    <row r="630" s="32" customFormat="1" ht="12.75" x14ac:dyDescent="0.2"/>
    <row r="631" s="32" customFormat="1" ht="12.75" x14ac:dyDescent="0.2"/>
    <row r="632" s="32" customFormat="1" ht="12.75" x14ac:dyDescent="0.2"/>
    <row r="633" s="32" customFormat="1" ht="12.75" x14ac:dyDescent="0.2"/>
    <row r="634" s="32" customFormat="1" ht="12.75" x14ac:dyDescent="0.2"/>
    <row r="635" s="32" customFormat="1" ht="12.75" x14ac:dyDescent="0.2"/>
    <row r="636" s="32" customFormat="1" ht="12.75" x14ac:dyDescent="0.2"/>
    <row r="637" s="32" customFormat="1" ht="12.75" x14ac:dyDescent="0.2"/>
    <row r="638" s="32" customFormat="1" ht="12.75" x14ac:dyDescent="0.2"/>
    <row r="639" s="32" customFormat="1" ht="12.75" x14ac:dyDescent="0.2"/>
    <row r="640" s="32" customFormat="1" ht="12.75" x14ac:dyDescent="0.2"/>
    <row r="641" s="32" customFormat="1" ht="12.75" x14ac:dyDescent="0.2"/>
    <row r="642" s="32" customFormat="1" ht="12.75" x14ac:dyDescent="0.2"/>
    <row r="643" s="32" customFormat="1" ht="12.75" x14ac:dyDescent="0.2"/>
    <row r="644" s="32" customFormat="1" ht="12.75" x14ac:dyDescent="0.2"/>
    <row r="645" s="32" customFormat="1" ht="12.75" x14ac:dyDescent="0.2"/>
    <row r="646" s="32" customFormat="1" ht="12.75" x14ac:dyDescent="0.2"/>
    <row r="647" s="32" customFormat="1" ht="12.75" x14ac:dyDescent="0.2"/>
    <row r="648" s="32" customFormat="1" ht="12.75" x14ac:dyDescent="0.2"/>
    <row r="649" s="32" customFormat="1" ht="12.75" x14ac:dyDescent="0.2"/>
    <row r="650" s="32" customFormat="1" ht="12.75" x14ac:dyDescent="0.2"/>
    <row r="651" s="32" customFormat="1" ht="12.75" x14ac:dyDescent="0.2"/>
    <row r="652" s="32" customFormat="1" ht="12.75" x14ac:dyDescent="0.2"/>
    <row r="653" s="32" customFormat="1" ht="12.75" x14ac:dyDescent="0.2"/>
    <row r="654" s="32" customFormat="1" ht="12.75" x14ac:dyDescent="0.2"/>
    <row r="655" s="32" customFormat="1" ht="12.75" x14ac:dyDescent="0.2"/>
    <row r="656" s="32" customFormat="1" ht="12.75" x14ac:dyDescent="0.2"/>
    <row r="657" s="32" customFormat="1" ht="12.75" x14ac:dyDescent="0.2"/>
    <row r="658" s="32" customFormat="1" ht="12.75" x14ac:dyDescent="0.2"/>
    <row r="659" s="32" customFormat="1" ht="12.75" x14ac:dyDescent="0.2"/>
    <row r="660" s="32" customFormat="1" ht="12.75" x14ac:dyDescent="0.2"/>
    <row r="661" s="32" customFormat="1" ht="12.75" x14ac:dyDescent="0.2"/>
    <row r="662" s="32" customFormat="1" ht="12.75" x14ac:dyDescent="0.2"/>
    <row r="663" s="32" customFormat="1" ht="12.75" x14ac:dyDescent="0.2"/>
    <row r="664" s="32" customFormat="1" ht="12.75" x14ac:dyDescent="0.2"/>
    <row r="665" s="32" customFormat="1" ht="12.75" x14ac:dyDescent="0.2"/>
    <row r="666" s="32" customFormat="1" ht="12.75" x14ac:dyDescent="0.2"/>
    <row r="667" s="32" customFormat="1" ht="12.75" x14ac:dyDescent="0.2"/>
    <row r="668" s="32" customFormat="1" ht="12.75" x14ac:dyDescent="0.2"/>
    <row r="669" s="32" customFormat="1" ht="12.75" x14ac:dyDescent="0.2"/>
    <row r="670" s="32" customFormat="1" ht="12.75" x14ac:dyDescent="0.2"/>
    <row r="671" s="32" customFormat="1" ht="12.75" x14ac:dyDescent="0.2"/>
    <row r="672" s="32" customFormat="1" ht="12.75" x14ac:dyDescent="0.2"/>
    <row r="673" s="32" customFormat="1" ht="12.75" x14ac:dyDescent="0.2"/>
    <row r="674" s="32" customFormat="1" ht="12.75" x14ac:dyDescent="0.2"/>
    <row r="675" s="32" customFormat="1" ht="12.75" x14ac:dyDescent="0.2"/>
    <row r="676" s="32" customFormat="1" ht="12.75" x14ac:dyDescent="0.2"/>
    <row r="677" s="32" customFormat="1" ht="12.75" x14ac:dyDescent="0.2"/>
    <row r="678" s="32" customFormat="1" ht="12.75" x14ac:dyDescent="0.2"/>
    <row r="679" s="32" customFormat="1" ht="12.75" x14ac:dyDescent="0.2"/>
    <row r="680" s="32" customFormat="1" ht="12.75" x14ac:dyDescent="0.2"/>
    <row r="681" s="32" customFormat="1" ht="12.75" x14ac:dyDescent="0.2"/>
    <row r="682" s="32" customFormat="1" ht="12.75" x14ac:dyDescent="0.2"/>
    <row r="683" s="32" customFormat="1" ht="12.75" x14ac:dyDescent="0.2"/>
    <row r="684" s="32" customFormat="1" ht="12.75" x14ac:dyDescent="0.2"/>
    <row r="685" s="32" customFormat="1" ht="12.75" x14ac:dyDescent="0.2"/>
    <row r="686" s="32" customFormat="1" ht="12.75" x14ac:dyDescent="0.2"/>
    <row r="687" s="32" customFormat="1" ht="12.75" x14ac:dyDescent="0.2"/>
    <row r="688" s="32" customFormat="1" ht="12.75" x14ac:dyDescent="0.2"/>
    <row r="689" s="32" customFormat="1" ht="12.75" x14ac:dyDescent="0.2"/>
    <row r="690" s="32" customFormat="1" ht="12.75" x14ac:dyDescent="0.2"/>
    <row r="691" s="32" customFormat="1" ht="12.75" x14ac:dyDescent="0.2"/>
    <row r="692" s="32" customFormat="1" ht="12.75" x14ac:dyDescent="0.2"/>
    <row r="693" s="32" customFormat="1" ht="12.75" x14ac:dyDescent="0.2"/>
    <row r="694" s="32" customFormat="1" ht="12.75" x14ac:dyDescent="0.2"/>
    <row r="695" s="32" customFormat="1" ht="12.75" x14ac:dyDescent="0.2"/>
    <row r="696" s="32" customFormat="1" ht="12.75" x14ac:dyDescent="0.2"/>
    <row r="697" s="32" customFormat="1" ht="12.75" x14ac:dyDescent="0.2"/>
    <row r="698" s="32" customFormat="1" ht="12.75" x14ac:dyDescent="0.2"/>
    <row r="699" s="32" customFormat="1" ht="12.75" x14ac:dyDescent="0.2"/>
    <row r="700" s="32" customFormat="1" ht="12.75" x14ac:dyDescent="0.2"/>
    <row r="701" s="32" customFormat="1" ht="12.75" x14ac:dyDescent="0.2"/>
    <row r="702" s="32" customFormat="1" ht="12.75" x14ac:dyDescent="0.2"/>
    <row r="703" s="32" customFormat="1" ht="12.75" x14ac:dyDescent="0.2"/>
    <row r="704" s="32" customFormat="1" ht="12.75" x14ac:dyDescent="0.2"/>
    <row r="705" s="32" customFormat="1" ht="12.75" x14ac:dyDescent="0.2"/>
    <row r="706" s="32" customFormat="1" ht="12.75" x14ac:dyDescent="0.2"/>
    <row r="707" s="32" customFormat="1" ht="12.75" x14ac:dyDescent="0.2"/>
    <row r="708" s="32" customFormat="1" ht="12.75" x14ac:dyDescent="0.2"/>
    <row r="709" s="32" customFormat="1" ht="12.75" x14ac:dyDescent="0.2"/>
    <row r="710" s="32" customFormat="1" ht="12.75" x14ac:dyDescent="0.2"/>
    <row r="711" s="32" customFormat="1" ht="12.75" x14ac:dyDescent="0.2"/>
    <row r="712" s="32" customFormat="1" ht="12.75" x14ac:dyDescent="0.2"/>
    <row r="713" s="32" customFormat="1" ht="12.75" x14ac:dyDescent="0.2"/>
    <row r="714" s="32" customFormat="1" ht="12.75" x14ac:dyDescent="0.2"/>
    <row r="715" s="32" customFormat="1" ht="12.75" x14ac:dyDescent="0.2"/>
    <row r="716" s="32" customFormat="1" ht="12.75" x14ac:dyDescent="0.2"/>
    <row r="717" s="32" customFormat="1" ht="12.75" x14ac:dyDescent="0.2"/>
    <row r="718" s="32" customFormat="1" ht="12.75" x14ac:dyDescent="0.2"/>
    <row r="719" s="32" customFormat="1" ht="12.75" x14ac:dyDescent="0.2"/>
    <row r="720" s="32" customFormat="1" ht="12.75" x14ac:dyDescent="0.2"/>
    <row r="721" s="32" customFormat="1" ht="12.75" x14ac:dyDescent="0.2"/>
    <row r="722" s="32" customFormat="1" ht="12.75" x14ac:dyDescent="0.2"/>
    <row r="723" s="32" customFormat="1" ht="12.75" x14ac:dyDescent="0.2"/>
    <row r="724" s="32" customFormat="1" ht="12.75" x14ac:dyDescent="0.2"/>
    <row r="725" s="32" customFormat="1" ht="12.75" x14ac:dyDescent="0.2"/>
    <row r="726" s="32" customFormat="1" ht="12.75" x14ac:dyDescent="0.2"/>
    <row r="727" s="32" customFormat="1" ht="12.75" x14ac:dyDescent="0.2"/>
    <row r="728" s="32" customFormat="1" ht="12.75" x14ac:dyDescent="0.2"/>
    <row r="729" s="32" customFormat="1" ht="12.75" x14ac:dyDescent="0.2"/>
    <row r="730" s="32" customFormat="1" ht="12.75" x14ac:dyDescent="0.2"/>
    <row r="731" s="32" customFormat="1" ht="12.75" x14ac:dyDescent="0.2"/>
    <row r="732" s="32" customFormat="1" ht="12.75" x14ac:dyDescent="0.2"/>
    <row r="733" s="32" customFormat="1" ht="12.75" x14ac:dyDescent="0.2"/>
    <row r="734" s="32" customFormat="1" ht="12.75" x14ac:dyDescent="0.2"/>
    <row r="735" s="32" customFormat="1" ht="12.75" x14ac:dyDescent="0.2"/>
    <row r="736" s="32" customFormat="1" ht="12.75" x14ac:dyDescent="0.2"/>
    <row r="737" s="32" customFormat="1" ht="12.75" x14ac:dyDescent="0.2"/>
    <row r="738" s="32" customFormat="1" ht="12.75" x14ac:dyDescent="0.2"/>
    <row r="739" s="32" customFormat="1" ht="12.75" x14ac:dyDescent="0.2"/>
    <row r="740" s="32" customFormat="1" ht="12.75" x14ac:dyDescent="0.2"/>
    <row r="741" s="32" customFormat="1" ht="12.75" x14ac:dyDescent="0.2"/>
    <row r="742" s="32" customFormat="1" ht="12.75" x14ac:dyDescent="0.2"/>
    <row r="743" s="32" customFormat="1" ht="12.75" x14ac:dyDescent="0.2"/>
    <row r="744" s="32" customFormat="1" ht="12.75" x14ac:dyDescent="0.2"/>
    <row r="745" s="32" customFormat="1" ht="12.75" x14ac:dyDescent="0.2"/>
    <row r="746" s="32" customFormat="1" ht="12.75" x14ac:dyDescent="0.2"/>
    <row r="747" s="32" customFormat="1" ht="12.75" x14ac:dyDescent="0.2"/>
    <row r="748" s="32" customFormat="1" ht="12.75" x14ac:dyDescent="0.2"/>
    <row r="749" s="32" customFormat="1" ht="12.75" x14ac:dyDescent="0.2"/>
    <row r="750" s="32" customFormat="1" ht="12.75" x14ac:dyDescent="0.2"/>
    <row r="751" s="32" customFormat="1" ht="12.75" x14ac:dyDescent="0.2"/>
    <row r="752" s="32" customFormat="1" ht="12.75" x14ac:dyDescent="0.2"/>
    <row r="753" s="32" customFormat="1" ht="12.75" x14ac:dyDescent="0.2"/>
    <row r="754" s="32" customFormat="1" ht="12.75" x14ac:dyDescent="0.2"/>
    <row r="755" s="32" customFormat="1" ht="12.75" x14ac:dyDescent="0.2"/>
    <row r="756" s="32" customFormat="1" ht="12.75" x14ac:dyDescent="0.2"/>
    <row r="757" s="32" customFormat="1" ht="12.75" x14ac:dyDescent="0.2"/>
    <row r="758" s="32" customFormat="1" ht="12.75" x14ac:dyDescent="0.2"/>
    <row r="759" s="32" customFormat="1" ht="12.75" x14ac:dyDescent="0.2"/>
    <row r="760" s="32" customFormat="1" ht="12.75" x14ac:dyDescent="0.2"/>
    <row r="761" s="32" customFormat="1" ht="12.75" x14ac:dyDescent="0.2"/>
    <row r="762" s="32" customFormat="1" ht="12.75" x14ac:dyDescent="0.2"/>
    <row r="763" s="32" customFormat="1" ht="12.75" x14ac:dyDescent="0.2"/>
    <row r="764" s="32" customFormat="1" ht="12.75" x14ac:dyDescent="0.2"/>
    <row r="765" s="32" customFormat="1" ht="12.75" x14ac:dyDescent="0.2"/>
    <row r="766" s="32" customFormat="1" ht="12.75" x14ac:dyDescent="0.2"/>
    <row r="767" s="32" customFormat="1" ht="12.75" x14ac:dyDescent="0.2"/>
    <row r="768" s="32" customFormat="1" ht="12.75" x14ac:dyDescent="0.2"/>
    <row r="769" s="32" customFormat="1" ht="12.75" x14ac:dyDescent="0.2"/>
    <row r="770" s="32" customFormat="1" ht="12.75" x14ac:dyDescent="0.2"/>
    <row r="771" s="32" customFormat="1" ht="12.75" x14ac:dyDescent="0.2"/>
    <row r="772" s="32" customFormat="1" ht="12.75" x14ac:dyDescent="0.2"/>
    <row r="773" s="32" customFormat="1" ht="12.75" x14ac:dyDescent="0.2"/>
    <row r="774" s="32" customFormat="1" ht="12.75" x14ac:dyDescent="0.2"/>
    <row r="775" s="32" customFormat="1" ht="12.75" x14ac:dyDescent="0.2"/>
    <row r="776" s="32" customFormat="1" ht="12.75" x14ac:dyDescent="0.2"/>
    <row r="777" s="32" customFormat="1" ht="12.75" x14ac:dyDescent="0.2"/>
    <row r="778" s="32" customFormat="1" ht="12.75" x14ac:dyDescent="0.2"/>
    <row r="779" s="32" customFormat="1" ht="12.75" x14ac:dyDescent="0.2"/>
    <row r="780" s="32" customFormat="1" ht="12.75" x14ac:dyDescent="0.2"/>
    <row r="781" s="32" customFormat="1" ht="12.75" x14ac:dyDescent="0.2"/>
    <row r="782" s="32" customFormat="1" ht="12.75" x14ac:dyDescent="0.2"/>
    <row r="783" s="32" customFormat="1" ht="12.75" x14ac:dyDescent="0.2"/>
    <row r="784" s="32" customFormat="1" ht="12.75" x14ac:dyDescent="0.2"/>
    <row r="785" s="32" customFormat="1" ht="12.75" x14ac:dyDescent="0.2"/>
    <row r="786" s="32" customFormat="1" ht="12.75" x14ac:dyDescent="0.2"/>
    <row r="787" s="32" customFormat="1" ht="12.75" x14ac:dyDescent="0.2"/>
    <row r="788" s="32" customFormat="1" ht="12.75" x14ac:dyDescent="0.2"/>
    <row r="789" s="32" customFormat="1" ht="12.75" x14ac:dyDescent="0.2"/>
    <row r="790" s="32" customFormat="1" ht="12.75" x14ac:dyDescent="0.2"/>
    <row r="791" s="32" customFormat="1" ht="12.75" x14ac:dyDescent="0.2"/>
    <row r="792" s="32" customFormat="1" ht="12.75" x14ac:dyDescent="0.2"/>
    <row r="793" s="32" customFormat="1" ht="12.75" x14ac:dyDescent="0.2"/>
    <row r="794" s="32" customFormat="1" ht="12.75" x14ac:dyDescent="0.2"/>
    <row r="795" s="32" customFormat="1" ht="12.75" x14ac:dyDescent="0.2"/>
    <row r="796" s="32" customFormat="1" ht="12.75" x14ac:dyDescent="0.2"/>
    <row r="797" s="32" customFormat="1" ht="12.75" x14ac:dyDescent="0.2"/>
    <row r="798" s="32" customFormat="1" ht="12.75" x14ac:dyDescent="0.2"/>
    <row r="799" s="32" customFormat="1" ht="12.75" x14ac:dyDescent="0.2"/>
    <row r="800" s="32" customFormat="1" ht="12.75" x14ac:dyDescent="0.2"/>
    <row r="801" s="32" customFormat="1" ht="12.75" x14ac:dyDescent="0.2"/>
    <row r="802" s="32" customFormat="1" ht="12.75" x14ac:dyDescent="0.2"/>
    <row r="803" s="32" customFormat="1" ht="12.75" x14ac:dyDescent="0.2"/>
    <row r="804" s="32" customFormat="1" ht="12.75" x14ac:dyDescent="0.2"/>
    <row r="805" s="32" customFormat="1" ht="12.75" x14ac:dyDescent="0.2"/>
    <row r="806" s="32" customFormat="1" ht="12.75" x14ac:dyDescent="0.2"/>
    <row r="807" s="32" customFormat="1" ht="12.75" x14ac:dyDescent="0.2"/>
    <row r="808" s="32" customFormat="1" ht="12.75" x14ac:dyDescent="0.2"/>
    <row r="809" s="32" customFormat="1" ht="12.75" x14ac:dyDescent="0.2"/>
    <row r="810" s="32" customFormat="1" ht="12.75" x14ac:dyDescent="0.2"/>
    <row r="811" s="32" customFormat="1" ht="12.75" x14ac:dyDescent="0.2"/>
    <row r="812" s="32" customFormat="1" ht="12.75" x14ac:dyDescent="0.2"/>
    <row r="813" s="32" customFormat="1" ht="12.75" x14ac:dyDescent="0.2"/>
    <row r="814" s="32" customFormat="1" ht="12.75" x14ac:dyDescent="0.2"/>
    <row r="815" s="32" customFormat="1" ht="12.75" x14ac:dyDescent="0.2"/>
    <row r="816" s="32" customFormat="1" ht="12.75" x14ac:dyDescent="0.2"/>
    <row r="817" s="32" customFormat="1" ht="12.75" x14ac:dyDescent="0.2"/>
    <row r="818" s="32" customFormat="1" ht="12.75" x14ac:dyDescent="0.2"/>
    <row r="819" s="32" customFormat="1" ht="12.75" x14ac:dyDescent="0.2"/>
    <row r="820" s="32" customFormat="1" ht="12.75" x14ac:dyDescent="0.2"/>
    <row r="821" s="32" customFormat="1" ht="12.75" x14ac:dyDescent="0.2"/>
    <row r="822" s="32" customFormat="1" ht="12.75" x14ac:dyDescent="0.2"/>
    <row r="823" s="32" customFormat="1" ht="12.75" x14ac:dyDescent="0.2"/>
    <row r="824" s="32" customFormat="1" ht="12.75" x14ac:dyDescent="0.2"/>
    <row r="825" s="32" customFormat="1" ht="12.75" x14ac:dyDescent="0.2"/>
    <row r="826" s="32" customFormat="1" ht="12.75" x14ac:dyDescent="0.2"/>
    <row r="827" s="32" customFormat="1" ht="12.75" x14ac:dyDescent="0.2"/>
    <row r="828" s="32" customFormat="1" ht="12.75" x14ac:dyDescent="0.2"/>
    <row r="829" s="32" customFormat="1" ht="12.75" x14ac:dyDescent="0.2"/>
    <row r="830" s="32" customFormat="1" ht="12.75" x14ac:dyDescent="0.2"/>
    <row r="831" s="32" customFormat="1" ht="12.75" x14ac:dyDescent="0.2"/>
    <row r="832" s="32" customFormat="1" ht="12.75" x14ac:dyDescent="0.2"/>
    <row r="833" s="32" customFormat="1" ht="12.75" x14ac:dyDescent="0.2"/>
    <row r="834" s="32" customFormat="1" ht="12.75" x14ac:dyDescent="0.2"/>
    <row r="835" s="32" customFormat="1" ht="12.75" x14ac:dyDescent="0.2"/>
    <row r="836" s="32" customFormat="1" ht="12.75" x14ac:dyDescent="0.2"/>
    <row r="837" s="32" customFormat="1" ht="12.75" x14ac:dyDescent="0.2"/>
    <row r="838" s="32" customFormat="1" ht="12.75" x14ac:dyDescent="0.2"/>
    <row r="839" s="32" customFormat="1" ht="12.75" x14ac:dyDescent="0.2"/>
    <row r="840" s="32" customFormat="1" ht="12.75" x14ac:dyDescent="0.2"/>
    <row r="841" s="32" customFormat="1" ht="12.75" x14ac:dyDescent="0.2"/>
    <row r="842" s="32" customFormat="1" ht="12.75" x14ac:dyDescent="0.2"/>
    <row r="843" s="32" customFormat="1" ht="12.75" x14ac:dyDescent="0.2"/>
    <row r="844" s="32" customFormat="1" ht="12.75" x14ac:dyDescent="0.2"/>
    <row r="845" s="32" customFormat="1" ht="12.75" x14ac:dyDescent="0.2"/>
    <row r="846" s="32" customFormat="1" ht="12.75" x14ac:dyDescent="0.2"/>
    <row r="847" s="32" customFormat="1" ht="12.75" x14ac:dyDescent="0.2"/>
    <row r="848" s="32" customFormat="1" ht="12.75" x14ac:dyDescent="0.2"/>
    <row r="849" s="32" customFormat="1" ht="12.75" x14ac:dyDescent="0.2"/>
    <row r="850" s="32" customFormat="1" ht="12.75" x14ac:dyDescent="0.2"/>
    <row r="851" s="32" customFormat="1" ht="12.75" x14ac:dyDescent="0.2"/>
    <row r="852" s="32" customFormat="1" ht="12.75" x14ac:dyDescent="0.2"/>
    <row r="853" s="32" customFormat="1" ht="12.75" x14ac:dyDescent="0.2"/>
    <row r="854" s="32" customFormat="1" ht="12.75" x14ac:dyDescent="0.2"/>
    <row r="855" s="32" customFormat="1" ht="12.75" x14ac:dyDescent="0.2"/>
    <row r="856" s="32" customFormat="1" ht="12.75" x14ac:dyDescent="0.2"/>
    <row r="857" s="32" customFormat="1" ht="12.75" x14ac:dyDescent="0.2"/>
    <row r="858" s="32" customFormat="1" ht="12.75" x14ac:dyDescent="0.2"/>
    <row r="859" s="32" customFormat="1" ht="12.75" x14ac:dyDescent="0.2"/>
    <row r="860" s="32" customFormat="1" ht="12.75" x14ac:dyDescent="0.2"/>
    <row r="861" s="32" customFormat="1" ht="12.75" x14ac:dyDescent="0.2"/>
    <row r="862" s="32" customFormat="1" ht="12.75" x14ac:dyDescent="0.2"/>
    <row r="863" s="32" customFormat="1" ht="12.75" x14ac:dyDescent="0.2"/>
    <row r="864" s="32" customFormat="1" ht="12.75" x14ac:dyDescent="0.2"/>
    <row r="865" s="32" customFormat="1" ht="12.75" x14ac:dyDescent="0.2"/>
    <row r="866" s="32" customFormat="1" ht="12.75" x14ac:dyDescent="0.2"/>
    <row r="867" s="32" customFormat="1" ht="12.75" x14ac:dyDescent="0.2"/>
    <row r="868" s="32" customFormat="1" ht="12.75" x14ac:dyDescent="0.2"/>
    <row r="869" s="32" customFormat="1" ht="12.75" x14ac:dyDescent="0.2"/>
    <row r="870" s="32" customFormat="1" ht="12.75" x14ac:dyDescent="0.2"/>
    <row r="871" s="32" customFormat="1" ht="12.75" x14ac:dyDescent="0.2"/>
    <row r="872" s="32" customFormat="1" ht="12.75" x14ac:dyDescent="0.2"/>
    <row r="873" s="32" customFormat="1" ht="12.75" x14ac:dyDescent="0.2"/>
    <row r="874" s="32" customFormat="1" ht="12.75" x14ac:dyDescent="0.2"/>
    <row r="875" s="32" customFormat="1" ht="12.75" x14ac:dyDescent="0.2"/>
    <row r="876" s="32" customFormat="1" ht="12.75" x14ac:dyDescent="0.2"/>
    <row r="877" s="32" customFormat="1" ht="12.75" x14ac:dyDescent="0.2"/>
    <row r="878" s="32" customFormat="1" ht="12.75" x14ac:dyDescent="0.2"/>
    <row r="879" s="32" customFormat="1" ht="12.75" x14ac:dyDescent="0.2"/>
    <row r="880" s="32" customFormat="1" ht="12.75" x14ac:dyDescent="0.2"/>
    <row r="881" s="32" customFormat="1" ht="12.75" x14ac:dyDescent="0.2"/>
    <row r="882" s="32" customFormat="1" ht="12.75" x14ac:dyDescent="0.2"/>
    <row r="883" s="32" customFormat="1" ht="12.75" x14ac:dyDescent="0.2"/>
    <row r="884" s="32" customFormat="1" ht="12.75" x14ac:dyDescent="0.2"/>
    <row r="885" s="32" customFormat="1" ht="12.75" x14ac:dyDescent="0.2"/>
    <row r="886" s="32" customFormat="1" ht="12.75" x14ac:dyDescent="0.2"/>
    <row r="887" s="32" customFormat="1" ht="12.75" x14ac:dyDescent="0.2"/>
    <row r="888" s="32" customFormat="1" ht="12.75" x14ac:dyDescent="0.2"/>
    <row r="889" s="32" customFormat="1" ht="12.75" x14ac:dyDescent="0.2"/>
    <row r="890" s="32" customFormat="1" ht="12.75" x14ac:dyDescent="0.2"/>
    <row r="891" s="32" customFormat="1" ht="12.75" x14ac:dyDescent="0.2"/>
    <row r="892" s="32" customFormat="1" ht="12.75" x14ac:dyDescent="0.2"/>
    <row r="893" s="32" customFormat="1" ht="12.75" x14ac:dyDescent="0.2"/>
    <row r="894" s="32" customFormat="1" ht="12.75" x14ac:dyDescent="0.2"/>
    <row r="895" s="32" customFormat="1" ht="12.75" x14ac:dyDescent="0.2"/>
    <row r="896" s="32" customFormat="1" ht="12.75" x14ac:dyDescent="0.2"/>
    <row r="897" s="32" customFormat="1" ht="12.75" x14ac:dyDescent="0.2"/>
    <row r="898" s="32" customFormat="1" ht="12.75" x14ac:dyDescent="0.2"/>
    <row r="899" s="32" customFormat="1" ht="12.75" x14ac:dyDescent="0.2"/>
    <row r="900" s="32" customFormat="1" ht="12.75" x14ac:dyDescent="0.2"/>
    <row r="901" s="32" customFormat="1" ht="12.75" x14ac:dyDescent="0.2"/>
    <row r="902" s="32" customFormat="1" ht="12.75" x14ac:dyDescent="0.2"/>
    <row r="903" s="32" customFormat="1" ht="12.75" x14ac:dyDescent="0.2"/>
    <row r="904" s="32" customFormat="1" ht="12.75" x14ac:dyDescent="0.2"/>
    <row r="905" s="32" customFormat="1" ht="12.75" x14ac:dyDescent="0.2"/>
    <row r="906" s="32" customFormat="1" ht="12.75" x14ac:dyDescent="0.2"/>
    <row r="907" s="32" customFormat="1" ht="12.75" x14ac:dyDescent="0.2"/>
    <row r="908" s="32" customFormat="1" ht="12.75" x14ac:dyDescent="0.2"/>
    <row r="909" s="32" customFormat="1" ht="12.75" x14ac:dyDescent="0.2"/>
    <row r="910" s="32" customFormat="1" ht="12.75" x14ac:dyDescent="0.2"/>
    <row r="911" s="32" customFormat="1" ht="12.75" x14ac:dyDescent="0.2"/>
    <row r="912" s="32" customFormat="1" ht="12.75" x14ac:dyDescent="0.2"/>
    <row r="913" s="32" customFormat="1" ht="12.75" x14ac:dyDescent="0.2"/>
    <row r="914" s="32" customFormat="1" ht="12.75" x14ac:dyDescent="0.2"/>
    <row r="915" s="32" customFormat="1" ht="12.75" x14ac:dyDescent="0.2"/>
    <row r="916" s="32" customFormat="1" ht="12.75" x14ac:dyDescent="0.2"/>
    <row r="917" s="32" customFormat="1" ht="12.75" x14ac:dyDescent="0.2"/>
    <row r="918" s="32" customFormat="1" ht="12.75" x14ac:dyDescent="0.2"/>
  </sheetData>
  <mergeCells count="15">
    <mergeCell ref="J1:N1"/>
    <mergeCell ref="B2:H2"/>
    <mergeCell ref="K2:N2"/>
    <mergeCell ref="B3:D3"/>
    <mergeCell ref="E3:H4"/>
    <mergeCell ref="M3:N3"/>
    <mergeCell ref="B15:B17"/>
    <mergeCell ref="B18:B20"/>
    <mergeCell ref="B13:B14"/>
    <mergeCell ref="M4:N4"/>
    <mergeCell ref="B5:H5"/>
    <mergeCell ref="J5:N5"/>
    <mergeCell ref="I7:I20"/>
    <mergeCell ref="B7:B9"/>
    <mergeCell ref="B10:B12"/>
  </mergeCells>
  <conditionalFormatting sqref="F7:F20">
    <cfRule type="expression" dxfId="318" priority="10">
      <formula>IF(E7="Not measured",E7)</formula>
    </cfRule>
  </conditionalFormatting>
  <conditionalFormatting sqref="J4:L4">
    <cfRule type="cellIs" dxfId="317" priority="9" operator="equal">
      <formula>0</formula>
    </cfRule>
  </conditionalFormatting>
  <conditionalFormatting sqref="L7:L20">
    <cfRule type="expression" dxfId="316" priority="1">
      <formula>IF(K7="Not measured",K7)</formula>
    </cfRule>
  </conditionalFormatting>
  <pageMargins left="0.31496062992125984" right="0.11811023622047245" top="0.39370078740157483" bottom="0.19685039370078741" header="0.19685039370078741" footer="0.11811023622047245"/>
  <pageSetup paperSize="9" scale="32" fitToHeight="0" orientation="portrait" r:id="rId1"/>
  <headerFooter>
    <oddHeader>&amp;L&amp;F&amp;R&amp;D</oddHeader>
    <oddFooter>&amp;C&amp;K02-008ScorecardVersion 2019&amp;R&amp;K01+045&amp;P                &amp;K00+000.</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Please select from one of the drop down options." xr:uid="{C2AFE5FB-B97B-4890-9A76-D5C269F59688}">
          <x14:formula1>
            <xm:f>Calculation!$AX$3:$AX$6</xm:f>
          </x14:formula1>
          <xm:sqref>H7:H20</xm:sqref>
        </x14:dataValidation>
        <x14:dataValidation type="list" allowBlank="1" showInputMessage="1" showErrorMessage="1" prompt="Please select from one of the drop down options." xr:uid="{3087226A-0043-4127-9410-3CEA30517173}">
          <x14:formula1>
            <xm:f>Calculation!$AG$3:$AG$11</xm:f>
          </x14:formula1>
          <xm:sqref>F7:F20</xm:sqref>
        </x14:dataValidation>
        <x14:dataValidation type="list" allowBlank="1" showInputMessage="1" showErrorMessage="1" xr:uid="{6789A26A-B1E8-4F25-980D-B3020D89D8B4}">
          <x14:formula1>
            <xm:f>Calculation!$AL$3:$AL$11</xm:f>
          </x14:formula1>
          <xm:sqref>E7:E20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6">
    <tabColor theme="3"/>
    <pageSetUpPr fitToPage="1"/>
  </sheetPr>
  <dimension ref="C1:AM78"/>
  <sheetViews>
    <sheetView showGridLines="0" zoomScale="60" zoomScaleNormal="60" zoomScalePageLayoutView="40" workbookViewId="0"/>
  </sheetViews>
  <sheetFormatPr defaultColWidth="11.42578125" defaultRowHeight="15" x14ac:dyDescent="0.25"/>
  <cols>
    <col min="1" max="2" width="2.7109375" customWidth="1"/>
    <col min="3" max="3" width="4.28515625" customWidth="1"/>
    <col min="4" max="4" width="25" customWidth="1"/>
    <col min="5" max="5" width="7.28515625" customWidth="1"/>
    <col min="6" max="6" width="27.28515625" customWidth="1"/>
    <col min="7" max="7" width="10" customWidth="1"/>
    <col min="8" max="8" width="255.7109375" customWidth="1"/>
    <col min="9" max="9" width="4" customWidth="1"/>
    <col min="10" max="10" width="1.7109375" customWidth="1"/>
    <col min="11" max="11" width="2.140625" hidden="1" customWidth="1"/>
    <col min="12" max="12" width="4.28515625" hidden="1" customWidth="1"/>
    <col min="13" max="13" width="6.42578125" hidden="1" customWidth="1"/>
    <col min="14" max="14" width="31.42578125" hidden="1" customWidth="1"/>
    <col min="15" max="15" width="10" hidden="1" customWidth="1"/>
    <col min="16" max="16" width="9.7109375" hidden="1" customWidth="1"/>
    <col min="17" max="18" width="10.7109375" hidden="1" customWidth="1"/>
    <col min="19" max="19" width="26.42578125" hidden="1" customWidth="1"/>
    <col min="20" max="28" width="11.42578125" hidden="1" customWidth="1"/>
    <col min="29" max="32" width="9.42578125" hidden="1" customWidth="1"/>
    <col min="33" max="34" width="4.42578125" hidden="1" customWidth="1"/>
    <col min="35" max="35" width="1.7109375" style="9" hidden="1" customWidth="1"/>
    <col min="36" max="36" width="0" hidden="1" customWidth="1"/>
    <col min="38" max="38" width="41.140625" customWidth="1"/>
    <col min="39" max="39" width="15.42578125" bestFit="1" customWidth="1"/>
  </cols>
  <sheetData>
    <row r="1" spans="3:35" ht="15.75" thickBot="1" x14ac:dyDescent="0.3"/>
    <row r="2" spans="3:35" ht="19.5" customHeight="1" thickTop="1" x14ac:dyDescent="0.25">
      <c r="C2" s="184"/>
      <c r="D2" s="185"/>
      <c r="E2" s="185"/>
      <c r="F2" s="185"/>
      <c r="G2" s="223"/>
      <c r="H2" s="223"/>
      <c r="I2" s="186"/>
      <c r="J2" s="113"/>
      <c r="K2" s="23"/>
      <c r="L2" s="184"/>
      <c r="M2" s="174"/>
      <c r="N2" s="525" t="str">
        <f>IFERROR("EnDev Market Scorecard Over Time: "&amp;#REF!&amp;" "&amp;#REF!&amp;" "&amp;#REF!&amp;" - "&amp;#REF!&amp;" "&amp;#REF!&amp;" "&amp;#REF!&amp;" - "&amp;#REF!&amp;" "&amp;#REF!&amp;" "&amp;#REF!,"EnDev Market Scorecard Over Time")</f>
        <v>EnDev Market Scorecard Over Time</v>
      </c>
      <c r="O2" s="525"/>
      <c r="P2" s="525"/>
      <c r="Q2" s="525"/>
      <c r="R2" s="525"/>
      <c r="S2" s="525"/>
      <c r="T2" s="525"/>
      <c r="U2" s="525"/>
      <c r="V2" s="525"/>
      <c r="W2" s="525"/>
      <c r="X2" s="525"/>
      <c r="Y2" s="525"/>
      <c r="Z2" s="525"/>
      <c r="AA2" s="525"/>
      <c r="AB2" s="525"/>
      <c r="AC2" s="525"/>
      <c r="AD2" s="525"/>
      <c r="AE2" s="525"/>
      <c r="AF2" s="525"/>
      <c r="AG2" s="174"/>
      <c r="AH2" s="174"/>
      <c r="AI2" s="175"/>
    </row>
    <row r="3" spans="3:35" ht="67.5" customHeight="1" x14ac:dyDescent="0.5">
      <c r="C3" s="180"/>
      <c r="D3" s="516" t="str">
        <f>"Summary: "&amp;'EAMD Scorecard'!B4&amp;" "&amp;'EAMD Scorecard'!D4&amp;" "&amp;'EAMD Scorecard'!E4</f>
        <v>Summary: 0 2024 Other</v>
      </c>
      <c r="E3" s="516"/>
      <c r="F3" s="516"/>
      <c r="G3" s="516"/>
      <c r="H3" s="516"/>
      <c r="I3" s="187"/>
      <c r="J3" s="113"/>
      <c r="L3" s="180"/>
      <c r="M3" s="158"/>
      <c r="N3" s="526"/>
      <c r="O3" s="526"/>
      <c r="P3" s="526"/>
      <c r="Q3" s="526"/>
      <c r="R3" s="526"/>
      <c r="S3" s="526"/>
      <c r="T3" s="526"/>
      <c r="U3" s="526"/>
      <c r="V3" s="526"/>
      <c r="W3" s="526"/>
      <c r="X3" s="526"/>
      <c r="Y3" s="526"/>
      <c r="Z3" s="526"/>
      <c r="AA3" s="526"/>
      <c r="AB3" s="526"/>
      <c r="AC3" s="526"/>
      <c r="AD3" s="526"/>
      <c r="AE3" s="526"/>
      <c r="AF3" s="526"/>
      <c r="AG3" s="158"/>
      <c r="AH3" s="158"/>
      <c r="AI3" s="177"/>
    </row>
    <row r="4" spans="3:35" ht="178.5" customHeight="1" x14ac:dyDescent="0.5">
      <c r="C4" s="180"/>
      <c r="D4" s="401" t="str">
        <f>IF('EAMD Scorecard'!F4="","","Market:  ")</f>
        <v xml:space="preserve">Market:  </v>
      </c>
      <c r="E4" s="157"/>
      <c r="F4" s="527" t="str">
        <f>IF('EAMD Scorecard'!F4="","",'EAMD Scorecard'!F4)</f>
        <v xml:space="preserve">Demand side: 
Supply Side: 
Enabling environment: </v>
      </c>
      <c r="G4" s="527"/>
      <c r="H4" s="527"/>
      <c r="I4" s="187"/>
      <c r="L4" s="180"/>
      <c r="M4" s="158"/>
      <c r="N4" s="158"/>
      <c r="O4" s="524" t="s">
        <v>65</v>
      </c>
      <c r="P4" s="524"/>
      <c r="Q4" s="524"/>
      <c r="R4" s="524"/>
      <c r="S4" s="524"/>
      <c r="T4" s="524"/>
      <c r="U4" s="524"/>
      <c r="V4" s="524"/>
      <c r="W4" s="524"/>
      <c r="X4" s="524"/>
      <c r="Y4" s="524"/>
      <c r="Z4" s="524"/>
      <c r="AA4" s="524"/>
      <c r="AB4" s="524"/>
      <c r="AC4" s="158"/>
      <c r="AD4" s="158"/>
      <c r="AE4" s="158"/>
      <c r="AF4" s="158"/>
      <c r="AG4" s="158"/>
      <c r="AH4" s="158"/>
      <c r="AI4" s="177"/>
    </row>
    <row r="5" spans="3:35" ht="32.25" customHeight="1" x14ac:dyDescent="0.5">
      <c r="C5" s="180"/>
      <c r="D5" s="222" t="s">
        <v>78</v>
      </c>
      <c r="E5" s="222"/>
      <c r="F5" s="400"/>
      <c r="G5" s="400"/>
      <c r="H5" s="400"/>
      <c r="I5" s="187"/>
      <c r="J5" s="239"/>
      <c r="L5" s="180"/>
      <c r="M5" s="158"/>
      <c r="N5" s="158"/>
      <c r="O5" s="158"/>
      <c r="P5" s="158"/>
      <c r="Q5" s="158"/>
      <c r="R5" s="158"/>
      <c r="S5" s="158"/>
      <c r="T5" s="158"/>
      <c r="U5" s="158"/>
      <c r="V5" s="158"/>
      <c r="W5" s="158"/>
      <c r="X5" s="158"/>
      <c r="Y5" s="158"/>
      <c r="Z5" s="158"/>
      <c r="AA5" s="158"/>
      <c r="AB5" s="158"/>
      <c r="AC5" s="158"/>
      <c r="AD5" s="158"/>
      <c r="AE5" s="158"/>
      <c r="AF5" s="158"/>
      <c r="AG5" s="158"/>
      <c r="AH5" s="158"/>
      <c r="AI5" s="177"/>
    </row>
    <row r="6" spans="3:35" ht="25.9" customHeight="1" x14ac:dyDescent="0.5">
      <c r="C6" s="180"/>
      <c r="D6" s="157"/>
      <c r="E6" s="157"/>
      <c r="F6" s="230"/>
      <c r="G6" s="230"/>
      <c r="H6" s="230"/>
      <c r="I6" s="187"/>
      <c r="J6" s="239"/>
      <c r="L6" s="180"/>
      <c r="M6" s="158"/>
      <c r="N6" s="158"/>
      <c r="O6" s="158"/>
      <c r="P6" s="158"/>
      <c r="Q6" s="158"/>
      <c r="R6" s="158"/>
      <c r="S6" s="158"/>
      <c r="T6" s="158"/>
      <c r="U6" s="158"/>
      <c r="V6" s="158"/>
      <c r="W6" s="158"/>
      <c r="X6" s="158"/>
      <c r="Y6" s="158"/>
      <c r="Z6" s="158"/>
      <c r="AA6" s="158"/>
      <c r="AB6" s="158"/>
      <c r="AC6" s="158"/>
      <c r="AD6" s="158"/>
      <c r="AE6" s="158"/>
      <c r="AF6" s="158"/>
      <c r="AG6" s="158"/>
      <c r="AH6" s="158"/>
      <c r="AI6" s="177"/>
    </row>
    <row r="7" spans="3:35" ht="25.9" customHeight="1" x14ac:dyDescent="0.5">
      <c r="C7" s="180"/>
      <c r="D7" s="157"/>
      <c r="E7" s="157"/>
      <c r="F7" s="230"/>
      <c r="G7" s="230"/>
      <c r="H7" s="230"/>
      <c r="I7" s="187"/>
      <c r="J7" s="239"/>
      <c r="L7" s="180"/>
      <c r="M7" s="158"/>
      <c r="N7" s="158"/>
      <c r="O7" s="158"/>
      <c r="P7" s="158"/>
      <c r="Q7" s="158"/>
      <c r="R7" s="158"/>
      <c r="S7" s="158"/>
      <c r="T7" s="158"/>
      <c r="U7" s="158"/>
      <c r="V7" s="158"/>
      <c r="W7" s="158"/>
      <c r="X7" s="158"/>
      <c r="Y7" s="158"/>
      <c r="Z7" s="158"/>
      <c r="AA7" s="158"/>
      <c r="AB7" s="158"/>
      <c r="AC7" s="158"/>
      <c r="AD7" s="158"/>
      <c r="AE7" s="158"/>
      <c r="AF7" s="158"/>
      <c r="AG7" s="158"/>
      <c r="AH7" s="158"/>
      <c r="AI7" s="177"/>
    </row>
    <row r="8" spans="3:35" ht="25.9" customHeight="1" x14ac:dyDescent="0.5">
      <c r="C8" s="180"/>
      <c r="D8" s="157"/>
      <c r="E8" s="157"/>
      <c r="F8" s="230"/>
      <c r="G8" s="230"/>
      <c r="H8" s="230"/>
      <c r="I8" s="187"/>
      <c r="J8" s="239"/>
      <c r="L8" s="180"/>
      <c r="M8" s="158"/>
      <c r="N8" s="158"/>
      <c r="O8" s="158"/>
      <c r="P8" s="158"/>
      <c r="Q8" s="158"/>
      <c r="R8" s="158"/>
      <c r="S8" s="158"/>
      <c r="T8" s="158"/>
      <c r="U8" s="158"/>
      <c r="V8" s="158"/>
      <c r="W8" s="158"/>
      <c r="X8" s="158"/>
      <c r="Y8" s="158"/>
      <c r="Z8" s="158"/>
      <c r="AA8" s="158"/>
      <c r="AB8" s="158"/>
      <c r="AC8" s="158"/>
      <c r="AD8" s="158"/>
      <c r="AE8" s="158"/>
      <c r="AF8" s="158"/>
      <c r="AG8" s="158"/>
      <c r="AH8" s="158"/>
      <c r="AI8" s="177"/>
    </row>
    <row r="9" spans="3:35" ht="25.9" customHeight="1" x14ac:dyDescent="0.5">
      <c r="C9" s="180"/>
      <c r="D9" s="157"/>
      <c r="E9" s="157"/>
      <c r="F9" s="230"/>
      <c r="G9" s="230"/>
      <c r="H9" s="230"/>
      <c r="I9" s="187"/>
      <c r="J9" s="239"/>
      <c r="L9" s="180"/>
      <c r="M9" s="158"/>
      <c r="N9" s="158"/>
      <c r="O9" s="158"/>
      <c r="P9" s="158"/>
      <c r="Q9" s="158"/>
      <c r="R9" s="158"/>
      <c r="S9" s="158"/>
      <c r="T9" s="158"/>
      <c r="U9" s="158"/>
      <c r="V9" s="158"/>
      <c r="W9" s="158"/>
      <c r="X9" s="158"/>
      <c r="Y9" s="158"/>
      <c r="Z9" s="158"/>
      <c r="AA9" s="158"/>
      <c r="AB9" s="158"/>
      <c r="AC9" s="158"/>
      <c r="AD9" s="158"/>
      <c r="AE9" s="158"/>
      <c r="AF9" s="158"/>
      <c r="AG9" s="158"/>
      <c r="AH9" s="158"/>
      <c r="AI9" s="177"/>
    </row>
    <row r="10" spans="3:35" ht="25.9" customHeight="1" x14ac:dyDescent="0.5">
      <c r="C10" s="180"/>
      <c r="D10" s="157"/>
      <c r="E10" s="157"/>
      <c r="F10" s="230"/>
      <c r="G10" s="230"/>
      <c r="H10" s="230"/>
      <c r="I10" s="187"/>
      <c r="J10" s="239"/>
      <c r="L10" s="180"/>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77"/>
    </row>
    <row r="11" spans="3:35" ht="6" customHeight="1" x14ac:dyDescent="0.5">
      <c r="C11" s="180"/>
      <c r="D11" s="157"/>
      <c r="E11" s="157"/>
      <c r="F11" s="230"/>
      <c r="G11" s="230"/>
      <c r="H11" s="230"/>
      <c r="I11" s="187"/>
      <c r="J11" s="239"/>
      <c r="L11" s="180"/>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77"/>
    </row>
    <row r="12" spans="3:35" ht="25.9" customHeight="1" x14ac:dyDescent="0.5">
      <c r="C12" s="180"/>
      <c r="D12" s="157"/>
      <c r="E12" s="157"/>
      <c r="F12" s="230"/>
      <c r="G12" s="230"/>
      <c r="H12" s="230"/>
      <c r="I12" s="187"/>
      <c r="J12" s="239"/>
      <c r="L12" s="180"/>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77"/>
    </row>
    <row r="13" spans="3:35" ht="25.9" customHeight="1" x14ac:dyDescent="0.5">
      <c r="C13" s="180"/>
      <c r="D13" s="157"/>
      <c r="E13" s="157"/>
      <c r="F13" s="230"/>
      <c r="G13" s="230"/>
      <c r="H13" s="230"/>
      <c r="I13" s="187"/>
      <c r="J13" s="239"/>
      <c r="L13" s="180"/>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77"/>
    </row>
    <row r="14" spans="3:35" ht="25.9" customHeight="1" x14ac:dyDescent="0.5">
      <c r="C14" s="180"/>
      <c r="D14" s="157"/>
      <c r="E14" s="157"/>
      <c r="F14" s="230"/>
      <c r="G14" s="230"/>
      <c r="H14" s="230"/>
      <c r="I14" s="187"/>
      <c r="J14" s="239"/>
      <c r="L14" s="180"/>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77"/>
    </row>
    <row r="15" spans="3:35" ht="6" customHeight="1" x14ac:dyDescent="0.5">
      <c r="C15" s="180"/>
      <c r="D15" s="157"/>
      <c r="E15" s="157"/>
      <c r="F15" s="230"/>
      <c r="G15" s="230"/>
      <c r="H15" s="230"/>
      <c r="I15" s="187"/>
      <c r="J15" s="239"/>
      <c r="L15" s="180"/>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77"/>
    </row>
    <row r="16" spans="3:35" ht="25.9" customHeight="1" x14ac:dyDescent="0.5">
      <c r="C16" s="180"/>
      <c r="D16" s="157"/>
      <c r="E16" s="157"/>
      <c r="F16" s="230"/>
      <c r="G16" s="230"/>
      <c r="H16" s="230"/>
      <c r="I16" s="187"/>
      <c r="J16" s="239"/>
      <c r="L16" s="180"/>
      <c r="M16" s="158"/>
      <c r="N16" s="158"/>
      <c r="O16" s="158"/>
      <c r="P16" s="159"/>
      <c r="Q16" s="158"/>
      <c r="R16" s="158"/>
      <c r="S16" s="158"/>
      <c r="T16" s="158"/>
      <c r="U16" s="158"/>
      <c r="V16" s="158"/>
      <c r="W16" s="158"/>
      <c r="X16" s="158"/>
      <c r="Y16" s="158"/>
      <c r="Z16" s="158"/>
      <c r="AA16" s="158"/>
      <c r="AB16" s="158"/>
      <c r="AC16" s="158"/>
      <c r="AD16" s="158"/>
      <c r="AE16" s="158"/>
      <c r="AF16" s="158"/>
      <c r="AG16" s="158"/>
      <c r="AH16" s="158"/>
      <c r="AI16" s="177"/>
    </row>
    <row r="17" spans="3:39" ht="25.9" customHeight="1" x14ac:dyDescent="0.5">
      <c r="C17" s="180"/>
      <c r="D17" s="157"/>
      <c r="E17" s="157"/>
      <c r="F17" s="230"/>
      <c r="G17" s="230"/>
      <c r="H17" s="230"/>
      <c r="I17" s="187"/>
      <c r="J17" s="239"/>
      <c r="L17" s="180"/>
      <c r="M17" s="158"/>
      <c r="N17" s="158"/>
      <c r="O17" s="158"/>
      <c r="P17" s="158"/>
      <c r="Q17" s="158"/>
      <c r="R17" s="158"/>
      <c r="S17" s="158"/>
      <c r="T17" s="158"/>
      <c r="U17" s="158"/>
      <c r="V17" s="158"/>
      <c r="W17" s="158"/>
      <c r="X17" s="158"/>
      <c r="Y17" s="158"/>
      <c r="Z17" s="159"/>
      <c r="AA17" s="158"/>
      <c r="AB17" s="158"/>
      <c r="AC17" s="158"/>
      <c r="AD17" s="158"/>
      <c r="AE17" s="158"/>
      <c r="AF17" s="158"/>
      <c r="AG17" s="158"/>
      <c r="AH17" s="158"/>
      <c r="AI17" s="177"/>
    </row>
    <row r="18" spans="3:39" ht="25.9" customHeight="1" x14ac:dyDescent="0.5">
      <c r="C18" s="180"/>
      <c r="D18" s="157"/>
      <c r="E18" s="157"/>
      <c r="F18" s="230"/>
      <c r="G18" s="230"/>
      <c r="H18" s="230"/>
      <c r="I18" s="187"/>
      <c r="J18" s="239"/>
      <c r="L18" s="180"/>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77"/>
    </row>
    <row r="19" spans="3:39" ht="25.9" customHeight="1" x14ac:dyDescent="0.5">
      <c r="C19" s="180"/>
      <c r="D19" s="157"/>
      <c r="E19" s="157"/>
      <c r="F19" s="230"/>
      <c r="G19" s="230"/>
      <c r="H19" s="230"/>
      <c r="I19" s="187"/>
      <c r="J19" s="239"/>
      <c r="L19" s="180"/>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77"/>
    </row>
    <row r="20" spans="3:39" ht="25.9" customHeight="1" x14ac:dyDescent="0.5">
      <c r="C20" s="180"/>
      <c r="D20" s="157"/>
      <c r="E20" s="157"/>
      <c r="F20" s="230"/>
      <c r="G20" s="230"/>
      <c r="H20" s="230"/>
      <c r="I20" s="187"/>
      <c r="J20" s="239"/>
      <c r="L20" s="180"/>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77"/>
    </row>
    <row r="21" spans="3:39" ht="6" customHeight="1" x14ac:dyDescent="0.5">
      <c r="C21" s="180"/>
      <c r="D21" s="157"/>
      <c r="E21" s="157"/>
      <c r="F21" s="230"/>
      <c r="G21" s="230"/>
      <c r="H21" s="230"/>
      <c r="I21" s="187"/>
      <c r="J21" s="239"/>
      <c r="L21" s="180"/>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77"/>
    </row>
    <row r="22" spans="3:39" ht="6" customHeight="1" x14ac:dyDescent="0.5">
      <c r="C22" s="180"/>
      <c r="D22" s="157"/>
      <c r="E22" s="157"/>
      <c r="F22" s="230"/>
      <c r="G22" s="230"/>
      <c r="H22" s="230"/>
      <c r="I22" s="187"/>
      <c r="J22" s="239"/>
      <c r="L22" s="180"/>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77"/>
    </row>
    <row r="23" spans="3:39" ht="28.5" customHeight="1" x14ac:dyDescent="0.5">
      <c r="C23" s="180"/>
      <c r="D23" s="157"/>
      <c r="E23" s="157"/>
      <c r="F23" s="230"/>
      <c r="G23" s="230"/>
      <c r="H23" s="230"/>
      <c r="I23" s="187"/>
      <c r="J23" s="239"/>
      <c r="L23" s="180"/>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77"/>
    </row>
    <row r="24" spans="3:39" ht="25.9" customHeight="1" x14ac:dyDescent="0.5">
      <c r="C24" s="180"/>
      <c r="D24" s="157"/>
      <c r="E24" s="157"/>
      <c r="F24" s="230"/>
      <c r="G24" s="230"/>
      <c r="H24" s="230"/>
      <c r="I24" s="187"/>
      <c r="J24" s="239"/>
      <c r="L24" s="180"/>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77"/>
    </row>
    <row r="25" spans="3:39" ht="9" customHeight="1" x14ac:dyDescent="0.5">
      <c r="C25" s="180"/>
      <c r="D25" s="157"/>
      <c r="E25" s="157"/>
      <c r="F25" s="230"/>
      <c r="G25" s="230"/>
      <c r="H25" s="230"/>
      <c r="I25" s="187"/>
      <c r="J25" s="239"/>
      <c r="L25" s="180"/>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77"/>
    </row>
    <row r="26" spans="3:39" ht="25.9" customHeight="1" x14ac:dyDescent="0.5">
      <c r="C26" s="180"/>
      <c r="D26" s="157"/>
      <c r="E26" s="157"/>
      <c r="F26" s="230"/>
      <c r="G26" s="230"/>
      <c r="H26" s="230"/>
      <c r="I26" s="187"/>
      <c r="L26" s="180"/>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77"/>
    </row>
    <row r="27" spans="3:39" ht="18.75" customHeight="1" thickBot="1" x14ac:dyDescent="0.55000000000000004">
      <c r="C27" s="180"/>
      <c r="D27" s="157"/>
      <c r="E27" s="157"/>
      <c r="F27" s="157"/>
      <c r="G27" s="157"/>
      <c r="H27" s="157"/>
      <c r="I27" s="187"/>
      <c r="L27" s="180"/>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77"/>
    </row>
    <row r="28" spans="3:39" ht="48" customHeight="1" thickTop="1" thickBot="1" x14ac:dyDescent="0.55000000000000004">
      <c r="C28" s="180"/>
      <c r="D28" s="228" t="s">
        <v>106</v>
      </c>
      <c r="E28" s="517" t="s">
        <v>107</v>
      </c>
      <c r="F28" s="518"/>
      <c r="G28" s="218" t="str">
        <f>Q28</f>
        <v xml:space="preserve"> </v>
      </c>
      <c r="H28" s="229" t="s">
        <v>108</v>
      </c>
      <c r="I28" s="187"/>
      <c r="L28" s="180"/>
      <c r="M28" s="215" t="s">
        <v>109</v>
      </c>
      <c r="N28" s="215" t="s">
        <v>107</v>
      </c>
      <c r="O28" s="198" t="str">
        <f>IFERROR(#REF!&amp;" ", " ")</f>
        <v xml:space="preserve"> </v>
      </c>
      <c r="P28" s="199" t="str">
        <f>IFERROR(#REF!, " ")</f>
        <v xml:space="preserve"> </v>
      </c>
      <c r="Q28" s="200" t="str">
        <f>IFERROR(#REF!, " ")</f>
        <v xml:space="preserve"> </v>
      </c>
      <c r="R28" s="207"/>
      <c r="S28" s="194"/>
      <c r="T28" s="194"/>
      <c r="U28" s="194"/>
      <c r="V28" s="194"/>
      <c r="W28" s="194"/>
      <c r="X28" s="194"/>
      <c r="Y28" s="194"/>
      <c r="Z28" s="194"/>
      <c r="AA28" s="194"/>
      <c r="AB28" s="194"/>
      <c r="AC28" s="194"/>
      <c r="AD28" s="194"/>
      <c r="AE28" s="194"/>
      <c r="AF28" s="194"/>
      <c r="AG28" s="194"/>
      <c r="AH28" s="194"/>
      <c r="AI28" s="179"/>
      <c r="AL28" s="12"/>
    </row>
    <row r="29" spans="3:39" ht="50.1" customHeight="1" thickTop="1" thickBot="1" x14ac:dyDescent="0.55000000000000004">
      <c r="C29" s="180"/>
      <c r="D29" s="519" t="str">
        <f>'EAMD Scorecard'!C8</f>
        <v>S1
Suppliers</v>
      </c>
      <c r="E29" s="453" t="str">
        <f>'Supply side'!C7</f>
        <v>S1V1</v>
      </c>
      <c r="F29" s="234" t="str">
        <f>'Supply side'!D7</f>
        <v>Businesses</v>
      </c>
      <c r="G29" s="224" t="str">
        <f>IFERROR(Calculation!H3," ")</f>
        <v/>
      </c>
      <c r="H29" s="382" t="str">
        <f>IF('EAMD Scorecard'!G8="","",'EAMD Scorecard'!G8)</f>
        <v/>
      </c>
      <c r="I29" s="187"/>
      <c r="L29" s="180"/>
      <c r="M29" s="192" t="e">
        <f>'EAMD Scorecard'!#REF!</f>
        <v>#REF!</v>
      </c>
      <c r="N29" s="160" t="e">
        <f>'EAMD Scorecard'!#REF!</f>
        <v>#REF!</v>
      </c>
      <c r="O29" s="111" t="str">
        <f>IFERROR(#REF!," ")</f>
        <v xml:space="preserve"> </v>
      </c>
      <c r="P29" s="111" t="str">
        <f>IFERROR(#REF!," ")</f>
        <v xml:space="preserve"> </v>
      </c>
      <c r="Q29" s="111" t="str">
        <f>IFERROR(#REF!," ")</f>
        <v xml:space="preserve"> </v>
      </c>
      <c r="R29" s="161"/>
      <c r="S29" s="9"/>
      <c r="T29" s="9"/>
      <c r="U29" s="9"/>
      <c r="V29" s="9"/>
      <c r="W29" s="9"/>
      <c r="X29" s="9"/>
      <c r="Y29" s="112" t="s">
        <v>110</v>
      </c>
      <c r="Z29" s="9"/>
      <c r="AA29" s="9"/>
      <c r="AB29" s="9"/>
      <c r="AC29" s="9"/>
      <c r="AD29" s="9"/>
      <c r="AE29" s="9"/>
      <c r="AF29" s="9"/>
      <c r="AG29" s="9"/>
      <c r="AH29" s="9"/>
      <c r="AI29" s="179"/>
      <c r="AL29" s="12"/>
    </row>
    <row r="30" spans="3:39" ht="50.1" customHeight="1" thickTop="1" thickBot="1" x14ac:dyDescent="0.55000000000000004">
      <c r="C30" s="180"/>
      <c r="D30" s="522"/>
      <c r="E30" s="453" t="str">
        <f>'Supply side'!C8</f>
        <v>S1V2</v>
      </c>
      <c r="F30" s="234" t="str">
        <f>'Supply side'!D8</f>
        <v>Business modalities</v>
      </c>
      <c r="G30" s="225" t="str">
        <f>IFERROR(Calculation!H4," ")</f>
        <v/>
      </c>
      <c r="H30" s="382" t="str">
        <f>IF('EAMD Scorecard'!G9="","",'EAMD Scorecard'!G9)</f>
        <v/>
      </c>
      <c r="I30" s="187"/>
      <c r="L30" s="180"/>
      <c r="M30" s="193" t="e">
        <f>'EAMD Scorecard'!#REF!</f>
        <v>#REF!</v>
      </c>
      <c r="N30" s="132" t="e">
        <f>'EAMD Scorecard'!#REF!</f>
        <v>#REF!</v>
      </c>
      <c r="O30" s="28" t="str">
        <f>IFERROR(#REF!," ")</f>
        <v xml:space="preserve"> </v>
      </c>
      <c r="P30" s="28" t="str">
        <f>IFERROR(#REF!," ")</f>
        <v xml:space="preserve"> </v>
      </c>
      <c r="Q30" s="28" t="str">
        <f>IFERROR(#REF!," ")</f>
        <v xml:space="preserve"> </v>
      </c>
      <c r="R30" s="161"/>
      <c r="S30" s="9"/>
      <c r="T30" s="9"/>
      <c r="U30" s="9"/>
      <c r="V30" s="9"/>
      <c r="W30" s="9"/>
      <c r="X30" s="9"/>
      <c r="Y30" s="9"/>
      <c r="Z30" s="9"/>
      <c r="AA30" s="9"/>
      <c r="AB30" s="9"/>
      <c r="AC30" s="9"/>
      <c r="AD30" s="9"/>
      <c r="AE30" s="9"/>
      <c r="AF30" s="9"/>
      <c r="AG30" s="9"/>
      <c r="AH30" s="9"/>
      <c r="AI30" s="179"/>
      <c r="AL30" s="12"/>
    </row>
    <row r="31" spans="3:39" ht="50.1" customHeight="1" thickTop="1" thickBot="1" x14ac:dyDescent="0.55000000000000004">
      <c r="C31" s="180"/>
      <c r="D31" s="522"/>
      <c r="E31" s="453" t="str">
        <f>'Supply side'!C9</f>
        <v>S1V3</v>
      </c>
      <c r="F31" s="234" t="str">
        <f>'Supply side'!D9</f>
        <v>Formality</v>
      </c>
      <c r="G31" s="225" t="str">
        <f>IFERROR(Calculation!H5," ")</f>
        <v/>
      </c>
      <c r="H31" s="382" t="str">
        <f>IF('EAMD Scorecard'!G10="","",'EAMD Scorecard'!G10)</f>
        <v/>
      </c>
      <c r="I31" s="187"/>
      <c r="L31" s="180"/>
      <c r="M31" s="193" t="e">
        <f>'EAMD Scorecard'!#REF!</f>
        <v>#REF!</v>
      </c>
      <c r="N31" s="132" t="e">
        <f>'EAMD Scorecard'!#REF!</f>
        <v>#REF!</v>
      </c>
      <c r="O31" s="28" t="str">
        <f>IFERROR(#REF!," ")</f>
        <v xml:space="preserve"> </v>
      </c>
      <c r="P31" s="28" t="str">
        <f>IFERROR(#REF!," ")</f>
        <v xml:space="preserve"> </v>
      </c>
      <c r="Q31" s="28" t="str">
        <f>IFERROR(#REF!," ")</f>
        <v xml:space="preserve"> </v>
      </c>
      <c r="R31" s="161"/>
      <c r="S31" s="9"/>
      <c r="T31" s="9"/>
      <c r="U31" s="9"/>
      <c r="V31" s="9"/>
      <c r="W31" s="9"/>
      <c r="X31" s="9"/>
      <c r="Y31" s="9"/>
      <c r="Z31" s="9"/>
      <c r="AA31" s="9"/>
      <c r="AB31" s="9"/>
      <c r="AC31" s="9"/>
      <c r="AD31" s="9"/>
      <c r="AE31" s="9"/>
      <c r="AF31" s="9"/>
      <c r="AG31" s="9"/>
      <c r="AH31" s="9"/>
      <c r="AI31" s="179"/>
      <c r="AL31" s="12"/>
    </row>
    <row r="32" spans="3:39" ht="50.1" customHeight="1" thickTop="1" thickBot="1" x14ac:dyDescent="0.55000000000000004">
      <c r="C32" s="180"/>
      <c r="D32" s="520"/>
      <c r="E32" s="453" t="str">
        <f>'Supply side'!C10</f>
        <v>S1V4</v>
      </c>
      <c r="F32" s="234" t="str">
        <f>'Supply side'!D10</f>
        <v>Jobs created</v>
      </c>
      <c r="G32" s="225" t="str">
        <f>IFERROR(Calculation!H6," ")</f>
        <v/>
      </c>
      <c r="H32" s="382" t="str">
        <f>IF('EAMD Scorecard'!G11="","",'EAMD Scorecard'!G11)</f>
        <v/>
      </c>
      <c r="I32" s="187"/>
      <c r="L32" s="180"/>
      <c r="M32" s="193" t="e">
        <f>'EAMD Scorecard'!#REF!</f>
        <v>#REF!</v>
      </c>
      <c r="N32" s="132" t="e">
        <f>'EAMD Scorecard'!#REF!</f>
        <v>#REF!</v>
      </c>
      <c r="O32" s="28" t="str">
        <f>IFERROR(#REF!," ")</f>
        <v xml:space="preserve"> </v>
      </c>
      <c r="P32" s="28" t="str">
        <f>IFERROR(#REF!," ")</f>
        <v xml:space="preserve"> </v>
      </c>
      <c r="Q32" s="28" t="str">
        <f>IFERROR(#REF!," ")</f>
        <v xml:space="preserve"> </v>
      </c>
      <c r="R32" s="161"/>
      <c r="S32" s="9"/>
      <c r="T32" s="9"/>
      <c r="U32" s="9"/>
      <c r="V32" s="9"/>
      <c r="W32" s="9"/>
      <c r="X32" s="9"/>
      <c r="Y32" s="115"/>
      <c r="Z32" s="115"/>
      <c r="AA32" s="115"/>
      <c r="AB32" s="115"/>
      <c r="AC32" s="115"/>
      <c r="AD32" s="115"/>
      <c r="AE32" s="115"/>
      <c r="AF32" s="115"/>
      <c r="AG32" s="9"/>
      <c r="AH32" s="9"/>
      <c r="AI32" s="179"/>
      <c r="AL32" s="12"/>
      <c r="AM32" s="12"/>
    </row>
    <row r="33" spans="3:39" ht="50.1" customHeight="1" thickTop="1" thickBot="1" x14ac:dyDescent="0.4">
      <c r="C33" s="180"/>
      <c r="D33" s="519" t="str">
        <f>'EAMD Scorecard'!C12</f>
        <v>S2
Sales Volume</v>
      </c>
      <c r="E33" s="453" t="str">
        <f>'Supply side'!C11</f>
        <v>S2V1</v>
      </c>
      <c r="F33" s="234" t="str">
        <f>'Supply side'!D11</f>
        <v>Products / services sold</v>
      </c>
      <c r="G33" s="225" t="str">
        <f>IFERROR(Calculation!H7," ")</f>
        <v/>
      </c>
      <c r="H33" s="382" t="str">
        <f>IF('EAMD Scorecard'!G12="","",'EAMD Scorecard'!G12)</f>
        <v/>
      </c>
      <c r="I33" s="196"/>
      <c r="L33" s="180"/>
      <c r="M33" s="193" t="e">
        <f>'EAMD Scorecard'!#REF!</f>
        <v>#REF!</v>
      </c>
      <c r="N33" s="132" t="e">
        <f>'EAMD Scorecard'!#REF!</f>
        <v>#REF!</v>
      </c>
      <c r="O33" s="28" t="str">
        <f>IFERROR(#REF!," ")</f>
        <v xml:space="preserve"> </v>
      </c>
      <c r="P33" s="28" t="str">
        <f>IFERROR(#REF!," ")</f>
        <v xml:space="preserve"> </v>
      </c>
      <c r="Q33" s="28" t="str">
        <f>IFERROR(#REF!," ")</f>
        <v xml:space="preserve"> </v>
      </c>
      <c r="R33" s="161"/>
      <c r="S33" s="9"/>
      <c r="T33" s="9"/>
      <c r="U33" s="9"/>
      <c r="V33" s="9"/>
      <c r="W33" s="9"/>
      <c r="X33" s="9"/>
      <c r="Y33" s="115"/>
      <c r="Z33" s="115"/>
      <c r="AA33" s="115"/>
      <c r="AB33" s="115"/>
      <c r="AC33" s="115"/>
      <c r="AD33" s="115"/>
      <c r="AE33" s="115"/>
      <c r="AF33" s="115"/>
      <c r="AG33" s="9"/>
      <c r="AH33" s="9"/>
      <c r="AI33" s="179"/>
      <c r="AL33" s="12"/>
      <c r="AM33" s="12"/>
    </row>
    <row r="34" spans="3:39" ht="50.1" customHeight="1" thickTop="1" thickBot="1" x14ac:dyDescent="0.4">
      <c r="C34" s="180"/>
      <c r="D34" s="520"/>
      <c r="E34" s="453" t="str">
        <f>'Supply side'!C12</f>
        <v>S2V2</v>
      </c>
      <c r="F34" s="234" t="str">
        <f>'Supply side'!D12</f>
        <v>Inventory turnover</v>
      </c>
      <c r="G34" s="381" t="str">
        <f>IFERROR(Calculation!H8," ")</f>
        <v/>
      </c>
      <c r="H34" s="382" t="str">
        <f>IF('EAMD Scorecard'!G13="","",'EAMD Scorecard'!G13)</f>
        <v/>
      </c>
      <c r="I34" s="196"/>
      <c r="L34" s="180"/>
      <c r="M34" s="193" t="e">
        <f>'EAMD Scorecard'!#REF!</f>
        <v>#REF!</v>
      </c>
      <c r="N34" s="132" t="e">
        <f>'EAMD Scorecard'!#REF!</f>
        <v>#REF!</v>
      </c>
      <c r="O34" s="28" t="str">
        <f>IFERROR(#REF!," ")</f>
        <v xml:space="preserve"> </v>
      </c>
      <c r="P34" s="28" t="str">
        <f>IFERROR(#REF!," ")</f>
        <v xml:space="preserve"> </v>
      </c>
      <c r="Q34" s="28" t="str">
        <f>IFERROR(#REF!," ")</f>
        <v xml:space="preserve"> </v>
      </c>
      <c r="R34" s="161"/>
      <c r="S34" s="9"/>
      <c r="T34" s="9"/>
      <c r="U34" s="9"/>
      <c r="V34" s="9"/>
      <c r="W34" s="9"/>
      <c r="X34" s="9"/>
      <c r="Y34" s="115"/>
      <c r="Z34" s="115"/>
      <c r="AA34" s="115"/>
      <c r="AB34" s="115"/>
      <c r="AC34" s="115"/>
      <c r="AD34" s="115"/>
      <c r="AE34" s="115"/>
      <c r="AF34" s="115"/>
      <c r="AG34" s="9"/>
      <c r="AH34" s="9"/>
      <c r="AI34" s="179"/>
      <c r="AL34" s="12"/>
      <c r="AM34" s="12"/>
    </row>
    <row r="35" spans="3:39" ht="50.1" customHeight="1" thickTop="1" thickBot="1" x14ac:dyDescent="0.4">
      <c r="C35" s="180"/>
      <c r="D35" s="379" t="str">
        <f>'EAMD Scorecard'!C14</f>
        <v>S3
Prices, costs and profits</v>
      </c>
      <c r="E35" s="453" t="str">
        <f>'Supply side'!C13</f>
        <v>S3V1</v>
      </c>
      <c r="F35" s="234" t="str">
        <f>'Supply side'!D13</f>
        <v>Profits and Investments</v>
      </c>
      <c r="G35" s="225" t="str">
        <f>IFERROR(Calculation!H9," ")</f>
        <v/>
      </c>
      <c r="H35" s="382" t="str">
        <f>IF('EAMD Scorecard'!G17="","",'EAMD Scorecard'!G17)</f>
        <v/>
      </c>
      <c r="I35" s="196"/>
      <c r="L35" s="180"/>
      <c r="M35" s="193" t="e">
        <f>'EAMD Scorecard'!#REF!</f>
        <v>#REF!</v>
      </c>
      <c r="N35" s="132" t="e">
        <f>'EAMD Scorecard'!#REF!</f>
        <v>#REF!</v>
      </c>
      <c r="O35" s="28" t="str">
        <f>IFERROR(#REF!," ")</f>
        <v xml:space="preserve"> </v>
      </c>
      <c r="P35" s="28" t="str">
        <f>IFERROR(#REF!," ")</f>
        <v xml:space="preserve"> </v>
      </c>
      <c r="Q35" s="28" t="str">
        <f>IFERROR(#REF!," ")</f>
        <v xml:space="preserve"> </v>
      </c>
      <c r="R35" s="161"/>
      <c r="S35" s="9"/>
      <c r="T35" s="9"/>
      <c r="U35" s="9"/>
      <c r="V35" s="9"/>
      <c r="W35" s="9"/>
      <c r="X35" s="9"/>
      <c r="Y35" s="115"/>
      <c r="Z35" s="115"/>
      <c r="AA35" s="115"/>
      <c r="AB35" s="115"/>
      <c r="AC35" s="115"/>
      <c r="AD35" s="115"/>
      <c r="AE35" s="115"/>
      <c r="AF35" s="115"/>
      <c r="AG35" s="9"/>
      <c r="AH35" s="9"/>
      <c r="AI35" s="179"/>
      <c r="AL35" s="12"/>
      <c r="AM35" s="12"/>
    </row>
    <row r="36" spans="3:39" ht="50.1" customHeight="1" thickTop="1" thickBot="1" x14ac:dyDescent="0.4">
      <c r="C36" s="180"/>
      <c r="D36" s="530" t="str">
        <f>'EAMD Scorecard'!C18</f>
        <v>S4
Supply chain development and after-sales service</v>
      </c>
      <c r="E36" s="453" t="str">
        <f>'Supply side'!C14</f>
        <v>S4V1</v>
      </c>
      <c r="F36" s="234" t="str">
        <f>'Supply side'!D14</f>
        <v>Length of supply chain</v>
      </c>
      <c r="G36" s="225" t="str">
        <f>IFERROR(Calculation!H10," ")</f>
        <v/>
      </c>
      <c r="H36" s="382" t="str">
        <f>IF('EAMD Scorecard'!G18="","",'EAMD Scorecard'!G18)</f>
        <v/>
      </c>
      <c r="I36" s="196"/>
      <c r="L36" s="180"/>
      <c r="M36" s="193" t="e">
        <f>'EAMD Scorecard'!#REF!</f>
        <v>#REF!</v>
      </c>
      <c r="N36" s="132" t="e">
        <f>'EAMD Scorecard'!#REF!</f>
        <v>#REF!</v>
      </c>
      <c r="O36" s="28" t="str">
        <f>IFERROR(#REF!," ")</f>
        <v xml:space="preserve"> </v>
      </c>
      <c r="P36" s="28" t="str">
        <f>IFERROR(#REF!," ")</f>
        <v xml:space="preserve"> </v>
      </c>
      <c r="Q36" s="28" t="str">
        <f>IFERROR(#REF!," ")</f>
        <v xml:space="preserve"> </v>
      </c>
      <c r="R36" s="161"/>
      <c r="S36" s="9"/>
      <c r="T36" s="9"/>
      <c r="U36" s="9"/>
      <c r="V36" s="9"/>
      <c r="W36" s="9"/>
      <c r="X36" s="9"/>
      <c r="Y36" s="115"/>
      <c r="Z36" s="115"/>
      <c r="AA36" s="115"/>
      <c r="AB36" s="115"/>
      <c r="AC36" s="115"/>
      <c r="AD36" s="115"/>
      <c r="AE36" s="115"/>
      <c r="AF36" s="115"/>
      <c r="AG36" s="9"/>
      <c r="AH36" s="9"/>
      <c r="AI36" s="179"/>
      <c r="AL36" s="12"/>
      <c r="AM36" s="12"/>
    </row>
    <row r="37" spans="3:39" ht="50.1" customHeight="1" thickTop="1" thickBot="1" x14ac:dyDescent="0.4">
      <c r="C37" s="180"/>
      <c r="D37" s="530"/>
      <c r="E37" s="453" t="str">
        <f>'Supply side'!C15</f>
        <v>S4V2</v>
      </c>
      <c r="F37" s="234" t="str">
        <f>'Supply side'!D15</f>
        <v>Distribution channels</v>
      </c>
      <c r="G37" s="225" t="str">
        <f>IFERROR(Calculation!H11," ")</f>
        <v/>
      </c>
      <c r="H37" s="382" t="str">
        <f>IF('EAMD Scorecard'!G19="","",'EAMD Scorecard'!G19)</f>
        <v/>
      </c>
      <c r="I37" s="196"/>
      <c r="L37" s="180"/>
      <c r="M37" s="193" t="e">
        <f>'EAMD Scorecard'!#REF!</f>
        <v>#REF!</v>
      </c>
      <c r="N37" s="132" t="e">
        <f>'EAMD Scorecard'!#REF!</f>
        <v>#REF!</v>
      </c>
      <c r="O37" s="28" t="str">
        <f>IFERROR(#REF!," ")</f>
        <v xml:space="preserve"> </v>
      </c>
      <c r="P37" s="28" t="str">
        <f>IFERROR(#REF!," ")</f>
        <v xml:space="preserve"> </v>
      </c>
      <c r="Q37" s="28" t="str">
        <f>IFERROR(#REF!," ")</f>
        <v xml:space="preserve"> </v>
      </c>
      <c r="R37" s="161"/>
      <c r="S37" s="9"/>
      <c r="T37" s="9"/>
      <c r="U37" s="9"/>
      <c r="V37" s="9"/>
      <c r="W37" s="9"/>
      <c r="X37" s="9"/>
      <c r="Y37" s="115"/>
      <c r="Z37" s="115"/>
      <c r="AA37" s="115"/>
      <c r="AB37" s="115"/>
      <c r="AC37" s="115"/>
      <c r="AD37" s="115"/>
      <c r="AE37" s="115"/>
      <c r="AF37" s="115"/>
      <c r="AG37" s="9"/>
      <c r="AH37" s="9"/>
      <c r="AI37" s="179"/>
      <c r="AL37" s="12"/>
      <c r="AM37" s="12"/>
    </row>
    <row r="38" spans="3:39" ht="50.1" customHeight="1" thickTop="1" thickBot="1" x14ac:dyDescent="0.4">
      <c r="C38" s="180"/>
      <c r="D38" s="530"/>
      <c r="E38" s="453" t="str">
        <f>'Supply side'!C16</f>
        <v>S4V3</v>
      </c>
      <c r="F38" s="234" t="str">
        <f>'Supply side'!D16</f>
        <v>Initial suppliers</v>
      </c>
      <c r="G38" s="225" t="str">
        <f>IFERROR(Calculation!H12," ")</f>
        <v/>
      </c>
      <c r="H38" s="382" t="str">
        <f>IF('EAMD Scorecard'!G21="","",'EAMD Scorecard'!G21)</f>
        <v/>
      </c>
      <c r="I38" s="196"/>
      <c r="L38" s="180"/>
      <c r="M38" s="193" t="e">
        <f>'EAMD Scorecard'!#REF!</f>
        <v>#REF!</v>
      </c>
      <c r="N38" s="132" t="e">
        <f>'EAMD Scorecard'!#REF!</f>
        <v>#REF!</v>
      </c>
      <c r="O38" s="28" t="str">
        <f>IFERROR(#REF!," ")</f>
        <v xml:space="preserve"> </v>
      </c>
      <c r="P38" s="28" t="str">
        <f>IFERROR(#REF!," ")</f>
        <v xml:space="preserve"> </v>
      </c>
      <c r="Q38" s="28" t="str">
        <f>IFERROR(#REF!," ")</f>
        <v xml:space="preserve"> </v>
      </c>
      <c r="R38" s="161"/>
      <c r="S38" s="9"/>
      <c r="T38" s="9"/>
      <c r="U38" s="9"/>
      <c r="V38" s="9"/>
      <c r="W38" s="9"/>
      <c r="X38" s="9"/>
      <c r="Y38" s="115"/>
      <c r="Z38" s="115"/>
      <c r="AA38" s="115"/>
      <c r="AB38" s="115"/>
      <c r="AC38" s="115"/>
      <c r="AD38" s="115"/>
      <c r="AE38" s="115"/>
      <c r="AF38" s="115"/>
      <c r="AG38" s="9"/>
      <c r="AH38" s="9"/>
      <c r="AI38" s="179"/>
      <c r="AL38" s="12"/>
      <c r="AM38" s="12"/>
    </row>
    <row r="39" spans="3:39" ht="50.1" customHeight="1" thickTop="1" thickBot="1" x14ac:dyDescent="0.4">
      <c r="C39" s="180"/>
      <c r="D39" s="530"/>
      <c r="E39" s="453" t="str">
        <f>'Supply side'!C17</f>
        <v>S4V4</v>
      </c>
      <c r="F39" s="234" t="str">
        <f>'Supply side'!D17</f>
        <v>After-sales service providers</v>
      </c>
      <c r="G39" s="225" t="str">
        <f>IFERROR(Calculation!H13," ")</f>
        <v/>
      </c>
      <c r="H39" s="382" t="str">
        <f>IF('EAMD Scorecard'!G22="","",'EAMD Scorecard'!G22)</f>
        <v/>
      </c>
      <c r="I39" s="196"/>
      <c r="L39" s="180"/>
      <c r="M39" s="193" t="e">
        <f>'EAMD Scorecard'!#REF!</f>
        <v>#REF!</v>
      </c>
      <c r="N39" s="132" t="e">
        <f>'EAMD Scorecard'!#REF!</f>
        <v>#REF!</v>
      </c>
      <c r="O39" s="28" t="str">
        <f>IFERROR(#REF!," ")</f>
        <v xml:space="preserve"> </v>
      </c>
      <c r="P39" s="28" t="str">
        <f>IFERROR(#REF!," ")</f>
        <v xml:space="preserve"> </v>
      </c>
      <c r="Q39" s="28" t="str">
        <f>IFERROR(#REF!," ")</f>
        <v xml:space="preserve"> </v>
      </c>
      <c r="R39" s="161"/>
      <c r="S39" s="9"/>
      <c r="T39" s="9"/>
      <c r="U39" s="9"/>
      <c r="V39" s="9"/>
      <c r="W39" s="9"/>
      <c r="X39" s="9"/>
      <c r="Y39" s="115"/>
      <c r="Z39" s="115"/>
      <c r="AA39" s="115"/>
      <c r="AB39" s="115"/>
      <c r="AC39" s="115"/>
      <c r="AD39" s="115"/>
      <c r="AE39" s="115"/>
      <c r="AF39" s="115"/>
      <c r="AG39" s="9"/>
      <c r="AH39" s="9"/>
      <c r="AI39" s="179"/>
      <c r="AL39" s="12"/>
      <c r="AM39" s="12"/>
    </row>
    <row r="40" spans="3:39" ht="50.1" customHeight="1" thickTop="1" thickBot="1" x14ac:dyDescent="0.4">
      <c r="C40" s="180"/>
      <c r="D40" s="219" t="str">
        <f>'EAMD Scorecard'!C26</f>
        <v>S5
Warranties</v>
      </c>
      <c r="E40" s="453" t="str">
        <f>'Supply side'!C18</f>
        <v>S5V1</v>
      </c>
      <c r="F40" s="234" t="str">
        <f>'Supply side'!D18</f>
        <v>Warranties</v>
      </c>
      <c r="G40" s="225" t="str">
        <f>IFERROR(Calculation!H14," ")</f>
        <v/>
      </c>
      <c r="H40" s="382" t="str">
        <f>IF('EAMD Scorecard'!G26="","",'EAMD Scorecard'!G26)</f>
        <v/>
      </c>
      <c r="I40" s="196"/>
      <c r="L40" s="180"/>
      <c r="M40" s="193" t="e">
        <f>'EAMD Scorecard'!#REF!</f>
        <v>#REF!</v>
      </c>
      <c r="N40" s="132" t="e">
        <f>'EAMD Scorecard'!#REF!</f>
        <v>#REF!</v>
      </c>
      <c r="O40" s="28" t="str">
        <f>IFERROR(#REF!," ")</f>
        <v xml:space="preserve"> </v>
      </c>
      <c r="P40" s="28" t="str">
        <f>IFERROR(#REF!," ")</f>
        <v xml:space="preserve"> </v>
      </c>
      <c r="Q40" s="28" t="str">
        <f>IFERROR(#REF!," ")</f>
        <v xml:space="preserve"> </v>
      </c>
      <c r="R40" s="161"/>
      <c r="S40" s="9"/>
      <c r="T40" s="9"/>
      <c r="U40" s="9"/>
      <c r="V40" s="9"/>
      <c r="W40" s="9"/>
      <c r="X40" s="9"/>
      <c r="Y40" s="115"/>
      <c r="Z40" s="115"/>
      <c r="AA40" s="115"/>
      <c r="AB40" s="115"/>
      <c r="AC40" s="115"/>
      <c r="AD40" s="115"/>
      <c r="AE40" s="115"/>
      <c r="AF40" s="115"/>
      <c r="AG40" s="9"/>
      <c r="AH40" s="9"/>
      <c r="AI40" s="179"/>
      <c r="AL40" s="12"/>
      <c r="AM40" s="12"/>
    </row>
    <row r="41" spans="3:39" ht="50.1" customHeight="1" thickTop="1" thickBot="1" x14ac:dyDescent="0.4">
      <c r="C41" s="180"/>
      <c r="D41" s="530" t="str">
        <f>'EAMD Scorecard'!C27</f>
        <v>S6
Entrepreneurial skills</v>
      </c>
      <c r="E41" s="453" t="str">
        <f>'Supply side'!C19</f>
        <v>S6V1</v>
      </c>
      <c r="F41" s="234" t="str">
        <f>'Supply side'!D19</f>
        <v>Business skills</v>
      </c>
      <c r="G41" s="225" t="str">
        <f>IFERROR(Calculation!H15," ")</f>
        <v/>
      </c>
      <c r="H41" s="382" t="str">
        <f>IF('EAMD Scorecard'!G27="","",'EAMD Scorecard'!G27)</f>
        <v/>
      </c>
      <c r="I41" s="196"/>
      <c r="L41" s="180"/>
      <c r="M41" s="193" t="e">
        <f>'EAMD Scorecard'!#REF!</f>
        <v>#REF!</v>
      </c>
      <c r="N41" s="132" t="e">
        <f>'EAMD Scorecard'!#REF!</f>
        <v>#REF!</v>
      </c>
      <c r="O41" s="28" t="str">
        <f>IFERROR(#REF!," ")</f>
        <v xml:space="preserve"> </v>
      </c>
      <c r="P41" s="28" t="str">
        <f>IFERROR(#REF!," ")</f>
        <v xml:space="preserve"> </v>
      </c>
      <c r="Q41" s="28" t="str">
        <f>IFERROR(#REF!," ")</f>
        <v xml:space="preserve"> </v>
      </c>
      <c r="R41" s="161"/>
      <c r="S41" s="9"/>
      <c r="T41" s="9"/>
      <c r="U41" s="9"/>
      <c r="V41" s="9"/>
      <c r="W41" s="9"/>
      <c r="X41" s="9"/>
      <c r="Y41" s="115"/>
      <c r="Z41" s="115"/>
      <c r="AA41" s="115"/>
      <c r="AB41" s="115"/>
      <c r="AC41" s="115"/>
      <c r="AD41" s="115"/>
      <c r="AE41" s="115"/>
      <c r="AF41" s="115"/>
      <c r="AG41" s="9"/>
      <c r="AH41" s="9"/>
      <c r="AI41" s="179"/>
      <c r="AL41" s="12"/>
      <c r="AM41" s="12"/>
    </row>
    <row r="42" spans="3:39" ht="50.1" customHeight="1" thickTop="1" thickBot="1" x14ac:dyDescent="0.4">
      <c r="C42" s="180"/>
      <c r="D42" s="530"/>
      <c r="E42" s="453" t="str">
        <f>'Supply side'!C20</f>
        <v>S6V2</v>
      </c>
      <c r="F42" s="234" t="str">
        <f>'Supply side'!D20</f>
        <v>Marketing skills</v>
      </c>
      <c r="G42" s="225" t="str">
        <f>IFERROR(Calculation!H16," ")</f>
        <v/>
      </c>
      <c r="H42" s="382" t="str">
        <f>IF('EAMD Scorecard'!G29="","",'EAMD Scorecard'!G29)</f>
        <v/>
      </c>
      <c r="I42" s="196"/>
      <c r="L42" s="180"/>
      <c r="M42" s="193" t="e">
        <f>'EAMD Scorecard'!#REF!</f>
        <v>#REF!</v>
      </c>
      <c r="N42" s="132" t="e">
        <f>'EAMD Scorecard'!#REF!</f>
        <v>#REF!</v>
      </c>
      <c r="O42" s="28" t="str">
        <f>IFERROR(#REF!," ")</f>
        <v xml:space="preserve"> </v>
      </c>
      <c r="P42" s="28" t="str">
        <f>IFERROR(#REF!," ")</f>
        <v xml:space="preserve"> </v>
      </c>
      <c r="Q42" s="28" t="str">
        <f>IFERROR(#REF!," ")</f>
        <v xml:space="preserve"> </v>
      </c>
      <c r="R42" s="161"/>
      <c r="S42" s="9"/>
      <c r="T42" s="9"/>
      <c r="U42" s="9"/>
      <c r="V42" s="9"/>
      <c r="W42" s="9"/>
      <c r="X42" s="9"/>
      <c r="Y42" s="115"/>
      <c r="Z42" s="115"/>
      <c r="AA42" s="115"/>
      <c r="AB42" s="115"/>
      <c r="AC42" s="115"/>
      <c r="AD42" s="115"/>
      <c r="AE42" s="115"/>
      <c r="AF42" s="115"/>
      <c r="AG42" s="9"/>
      <c r="AH42" s="9"/>
      <c r="AI42" s="179"/>
      <c r="AM42" s="241" t="e">
        <f>Calculation!G38</f>
        <v>#DIV/0!</v>
      </c>
    </row>
    <row r="43" spans="3:39" ht="50.1" customHeight="1" thickTop="1" thickBot="1" x14ac:dyDescent="0.4">
      <c r="C43" s="180"/>
      <c r="D43" s="530"/>
      <c r="E43" s="453" t="str">
        <f>'Supply side'!C21</f>
        <v>S6V3</v>
      </c>
      <c r="F43" s="234" t="str">
        <f>'Supply side'!D21</f>
        <v>Production skills</v>
      </c>
      <c r="G43" s="225" t="str">
        <f>IFERROR(Calculation!H17," ")</f>
        <v/>
      </c>
      <c r="H43" s="382" t="str">
        <f>IF('EAMD Scorecard'!G31="","",'EAMD Scorecard'!G31)</f>
        <v/>
      </c>
      <c r="I43" s="196"/>
      <c r="L43" s="180"/>
      <c r="M43" s="193" t="e">
        <f>'EAMD Scorecard'!#REF!</f>
        <v>#REF!</v>
      </c>
      <c r="N43" s="132" t="e">
        <f>'EAMD Scorecard'!#REF!</f>
        <v>#REF!</v>
      </c>
      <c r="O43" s="28" t="str">
        <f>IFERROR(#REF!," ")</f>
        <v xml:space="preserve"> </v>
      </c>
      <c r="P43" s="28" t="str">
        <f>IFERROR(#REF!," ")</f>
        <v xml:space="preserve"> </v>
      </c>
      <c r="Q43" s="28" t="str">
        <f>IFERROR(#REF!," ")</f>
        <v xml:space="preserve"> </v>
      </c>
      <c r="R43" s="161"/>
      <c r="S43" s="9"/>
      <c r="T43" s="9"/>
      <c r="U43" s="9"/>
      <c r="V43" s="9"/>
      <c r="W43" s="9"/>
      <c r="X43" s="9"/>
      <c r="Y43" s="115"/>
      <c r="Z43" s="115"/>
      <c r="AA43" s="115"/>
      <c r="AB43" s="115"/>
      <c r="AC43" s="115"/>
      <c r="AD43" s="115"/>
      <c r="AE43" s="115"/>
      <c r="AF43" s="115"/>
      <c r="AG43" s="9"/>
      <c r="AH43" s="9"/>
      <c r="AI43" s="179"/>
    </row>
    <row r="44" spans="3:39" ht="15" customHeight="1" thickTop="1" thickBot="1" x14ac:dyDescent="0.35">
      <c r="C44" s="180"/>
      <c r="D44" s="220"/>
      <c r="E44" s="235"/>
      <c r="F44" s="236"/>
      <c r="G44" s="212"/>
      <c r="H44" s="212"/>
      <c r="I44" s="179"/>
      <c r="L44" s="180"/>
      <c r="M44" s="148"/>
      <c r="N44" s="148"/>
      <c r="O44" s="148"/>
      <c r="P44" s="148"/>
      <c r="Q44" s="148"/>
      <c r="R44" s="179"/>
      <c r="AI44"/>
    </row>
    <row r="45" spans="3:39" ht="50.1" customHeight="1" thickTop="1" thickBot="1" x14ac:dyDescent="0.4">
      <c r="C45" s="180"/>
      <c r="D45" s="219" t="str">
        <f>'EAMD Scorecard'!C37</f>
        <v>D1
Product and service diversity</v>
      </c>
      <c r="E45" s="453" t="str">
        <f>'Demand side'!C7</f>
        <v>D1V1</v>
      </c>
      <c r="F45" s="234" t="str">
        <f>'EAMD Scorecard'!D37</f>
        <v>Diversity</v>
      </c>
      <c r="G45" s="226" t="str">
        <f>IFERROR(Calculation!H18," ")</f>
        <v/>
      </c>
      <c r="H45" s="382" t="str">
        <f>IF('EAMD Scorecard'!G37="","",'EAMD Scorecard'!G37)</f>
        <v/>
      </c>
      <c r="I45" s="196"/>
      <c r="L45" s="180"/>
      <c r="M45" s="193" t="e">
        <f>'EAMD Scorecard'!#REF!</f>
        <v>#REF!</v>
      </c>
      <c r="N45" s="132" t="e">
        <f>'EAMD Scorecard'!#REF!</f>
        <v>#REF!</v>
      </c>
      <c r="O45" s="28" t="str">
        <f>IFERROR(#REF!," ")</f>
        <v xml:space="preserve"> </v>
      </c>
      <c r="P45" s="28" t="str">
        <f>IFERROR(#REF!," ")</f>
        <v xml:space="preserve"> </v>
      </c>
      <c r="Q45" s="28" t="str">
        <f>IFERROR(#REF!," ")</f>
        <v xml:space="preserve"> </v>
      </c>
      <c r="R45" s="161"/>
      <c r="S45" s="9"/>
      <c r="T45" s="9"/>
      <c r="U45" s="9"/>
      <c r="V45" s="9"/>
      <c r="W45" s="9"/>
      <c r="X45" s="9"/>
      <c r="Y45" s="115"/>
      <c r="Z45" s="115"/>
      <c r="AA45" s="115"/>
      <c r="AB45" s="115"/>
      <c r="AC45" s="115"/>
      <c r="AD45" s="115"/>
      <c r="AE45" s="115"/>
      <c r="AF45" s="115"/>
      <c r="AG45" s="9"/>
      <c r="AH45" s="9"/>
      <c r="AI45" s="179"/>
    </row>
    <row r="46" spans="3:39" ht="50.1" customHeight="1" thickTop="1" thickBot="1" x14ac:dyDescent="0.4">
      <c r="C46" s="180"/>
      <c r="D46" s="219" t="str">
        <f>'EAMD Scorecard'!C38</f>
        <v>D2
Market penetration</v>
      </c>
      <c r="E46" s="453" t="str">
        <f>'Demand side'!C8</f>
        <v>D2V1</v>
      </c>
      <c r="F46" s="234" t="str">
        <f>'EAMD Scorecard'!D38</f>
        <v>Market share / Technology adopters</v>
      </c>
      <c r="G46" s="226" t="str">
        <f>IFERROR(Calculation!H19," ")</f>
        <v/>
      </c>
      <c r="H46" s="382" t="str">
        <f>IF('EAMD Scorecard'!G38="","",'EAMD Scorecard'!G38)</f>
        <v/>
      </c>
      <c r="I46" s="196"/>
      <c r="L46" s="180"/>
      <c r="M46" s="193" t="e">
        <f>'EAMD Scorecard'!#REF!</f>
        <v>#REF!</v>
      </c>
      <c r="N46" s="132" t="e">
        <f>'EAMD Scorecard'!#REF!</f>
        <v>#REF!</v>
      </c>
      <c r="O46" s="28" t="str">
        <f>IFERROR(#REF!," ")</f>
        <v xml:space="preserve"> </v>
      </c>
      <c r="P46" s="28" t="str">
        <f>IFERROR(#REF!," ")</f>
        <v xml:space="preserve"> </v>
      </c>
      <c r="Q46" s="28" t="str">
        <f>IFERROR(#REF!," ")</f>
        <v xml:space="preserve"> </v>
      </c>
      <c r="R46" s="161"/>
      <c r="S46" s="9"/>
      <c r="T46" s="9"/>
      <c r="U46" s="9"/>
      <c r="V46" s="9"/>
      <c r="W46" s="9"/>
      <c r="X46" s="9"/>
      <c r="Y46" s="115"/>
      <c r="Z46" s="115"/>
      <c r="AA46" s="115"/>
      <c r="AB46" s="115"/>
      <c r="AC46" s="115"/>
      <c r="AD46" s="115"/>
      <c r="AE46" s="115"/>
      <c r="AF46" s="115"/>
      <c r="AG46" s="9"/>
      <c r="AH46" s="9"/>
      <c r="AI46" s="179"/>
    </row>
    <row r="47" spans="3:39" ht="50.1" customHeight="1" thickTop="1" thickBot="1" x14ac:dyDescent="0.4">
      <c r="C47" s="180"/>
      <c r="D47" s="219" t="str">
        <f>'EAMD Scorecard'!C39</f>
        <v>D3
Willingness to pay</v>
      </c>
      <c r="E47" s="453" t="str">
        <f>'Demand side'!C9</f>
        <v>D3V1</v>
      </c>
      <c r="F47" s="234" t="str">
        <f>'EAMD Scorecard'!D39</f>
        <v xml:space="preserve">Willingness to pay </v>
      </c>
      <c r="G47" s="226" t="str">
        <f>IFERROR(Calculation!H20," ")</f>
        <v/>
      </c>
      <c r="H47" s="382" t="str">
        <f>IF('EAMD Scorecard'!G39="","",'EAMD Scorecard'!G39)</f>
        <v/>
      </c>
      <c r="I47" s="196"/>
      <c r="L47" s="180"/>
      <c r="M47" s="193" t="e">
        <f>'EAMD Scorecard'!#REF!</f>
        <v>#REF!</v>
      </c>
      <c r="N47" s="132" t="e">
        <f>'EAMD Scorecard'!#REF!</f>
        <v>#REF!</v>
      </c>
      <c r="O47" s="28" t="str">
        <f>IFERROR(#REF!," ")</f>
        <v xml:space="preserve"> </v>
      </c>
      <c r="P47" s="28" t="str">
        <f>IFERROR(#REF!," ")</f>
        <v xml:space="preserve"> </v>
      </c>
      <c r="Q47" s="28" t="str">
        <f>IFERROR(#REF!," ")</f>
        <v xml:space="preserve"> </v>
      </c>
      <c r="R47" s="161"/>
      <c r="S47" s="9"/>
      <c r="T47" s="9"/>
      <c r="U47" s="9"/>
      <c r="V47" s="9"/>
      <c r="W47" s="9"/>
      <c r="X47" s="9"/>
      <c r="Y47" s="115"/>
      <c r="Z47" s="115"/>
      <c r="AA47" s="115"/>
      <c r="AB47" s="115"/>
      <c r="AC47" s="115"/>
      <c r="AD47" s="115"/>
      <c r="AE47" s="115"/>
      <c r="AF47" s="115"/>
      <c r="AG47" s="9"/>
      <c r="AH47" s="9"/>
      <c r="AI47" s="179"/>
    </row>
    <row r="48" spans="3:39" ht="50.1" customHeight="1" thickTop="1" thickBot="1" x14ac:dyDescent="0.4">
      <c r="C48" s="180"/>
      <c r="D48" s="219" t="str">
        <f>'EAMD Scorecard'!C40</f>
        <v>D4
Systems in use</v>
      </c>
      <c r="E48" s="453" t="str">
        <f>'Demand side'!C10</f>
        <v>D4V1</v>
      </c>
      <c r="F48" s="234" t="str">
        <f>'EAMD Scorecard'!D40</f>
        <v>Usage rate</v>
      </c>
      <c r="G48" s="226" t="str">
        <f>IFERROR(Calculation!H21," ")</f>
        <v/>
      </c>
      <c r="H48" s="382" t="str">
        <f>IF('EAMD Scorecard'!G40="","",'EAMD Scorecard'!G40)</f>
        <v/>
      </c>
      <c r="I48" s="196"/>
      <c r="L48" s="180"/>
      <c r="M48" s="193" t="e">
        <f>'EAMD Scorecard'!#REF!</f>
        <v>#REF!</v>
      </c>
      <c r="N48" s="132" t="e">
        <f>'EAMD Scorecard'!#REF!</f>
        <v>#REF!</v>
      </c>
      <c r="O48" s="28" t="str">
        <f>IFERROR(#REF!," ")</f>
        <v xml:space="preserve"> </v>
      </c>
      <c r="P48" s="28" t="str">
        <f>IFERROR(#REF!," ")</f>
        <v xml:space="preserve"> </v>
      </c>
      <c r="Q48" s="28" t="str">
        <f>IFERROR(#REF!," ")</f>
        <v xml:space="preserve"> </v>
      </c>
      <c r="R48" s="161"/>
      <c r="S48" s="9"/>
      <c r="T48" s="9"/>
      <c r="U48" s="9"/>
      <c r="V48" s="9"/>
      <c r="W48" s="9"/>
      <c r="X48" s="9"/>
      <c r="Y48" s="115"/>
      <c r="Z48" s="115"/>
      <c r="AA48" s="115"/>
      <c r="AB48" s="115"/>
      <c r="AC48" s="115"/>
      <c r="AD48" s="115"/>
      <c r="AE48" s="115"/>
      <c r="AF48" s="115"/>
      <c r="AG48" s="9"/>
      <c r="AH48" s="9"/>
      <c r="AI48" s="179"/>
    </row>
    <row r="49" spans="3:35" ht="50.1" customHeight="1" thickTop="1" thickBot="1" x14ac:dyDescent="0.4">
      <c r="C49" s="180"/>
      <c r="D49" s="219" t="str">
        <f>'EAMD Scorecard'!C42</f>
        <v>D5
Replacement and repair</v>
      </c>
      <c r="E49" s="453" t="str">
        <f>'Demand side'!C11</f>
        <v>D5V1</v>
      </c>
      <c r="F49" s="234" t="str">
        <f>'EAMD Scorecard'!D42</f>
        <v>Replacement rate</v>
      </c>
      <c r="G49" s="226" t="str">
        <f>IFERROR(Calculation!H22," ")</f>
        <v/>
      </c>
      <c r="H49" s="382" t="str">
        <f>IF('EAMD Scorecard'!G42="","",'EAMD Scorecard'!G42)</f>
        <v/>
      </c>
      <c r="I49" s="196"/>
      <c r="L49" s="180"/>
      <c r="M49" s="193" t="e">
        <f>'EAMD Scorecard'!#REF!</f>
        <v>#REF!</v>
      </c>
      <c r="N49" s="132" t="e">
        <f>'EAMD Scorecard'!#REF!</f>
        <v>#REF!</v>
      </c>
      <c r="O49" s="28" t="str">
        <f>IFERROR(#REF!," ")</f>
        <v xml:space="preserve"> </v>
      </c>
      <c r="P49" s="28" t="str">
        <f>IFERROR(#REF!," ")</f>
        <v xml:space="preserve"> </v>
      </c>
      <c r="Q49" s="28" t="str">
        <f>IFERROR(#REF!," ")</f>
        <v xml:space="preserve"> </v>
      </c>
      <c r="R49" s="161"/>
      <c r="S49" s="9"/>
      <c r="T49" s="9"/>
      <c r="U49" s="9"/>
      <c r="V49" s="9"/>
      <c r="W49" s="9"/>
      <c r="X49" s="9"/>
      <c r="Y49" s="115"/>
      <c r="Z49" s="115"/>
      <c r="AA49" s="115"/>
      <c r="AB49" s="115"/>
      <c r="AC49" s="115"/>
      <c r="AD49" s="115"/>
      <c r="AE49" s="115"/>
      <c r="AF49" s="115"/>
      <c r="AG49" s="9"/>
      <c r="AH49" s="9"/>
      <c r="AI49" s="179"/>
    </row>
    <row r="50" spans="3:35" ht="50.1" customHeight="1" thickTop="1" thickBot="1" x14ac:dyDescent="0.4">
      <c r="C50" s="180"/>
      <c r="D50" s="528" t="str">
        <f>'EAMD Scorecard'!C44</f>
        <v>D6
Consumer awareness and perception</v>
      </c>
      <c r="E50" s="453" t="str">
        <f>'Demand side'!C12</f>
        <v>D6V1</v>
      </c>
      <c r="F50" s="234" t="str">
        <f>'EAMD Scorecard'!D44</f>
        <v>Awareness</v>
      </c>
      <c r="G50" s="226" t="str">
        <f>IFERROR(Calculation!H23," ")</f>
        <v/>
      </c>
      <c r="H50" s="382" t="str">
        <f>IF('EAMD Scorecard'!G44="","",'EAMD Scorecard'!G44)</f>
        <v/>
      </c>
      <c r="I50" s="196"/>
      <c r="L50" s="180"/>
      <c r="M50" s="193" t="e">
        <f>'EAMD Scorecard'!#REF!</f>
        <v>#REF!</v>
      </c>
      <c r="N50" s="132" t="e">
        <f>'EAMD Scorecard'!#REF!</f>
        <v>#REF!</v>
      </c>
      <c r="O50" s="28" t="str">
        <f>IFERROR(#REF!," ")</f>
        <v xml:space="preserve"> </v>
      </c>
      <c r="P50" s="28" t="str">
        <f>IFERROR(#REF!," ")</f>
        <v xml:space="preserve"> </v>
      </c>
      <c r="Q50" s="28" t="str">
        <f>IFERROR(#REF!," ")</f>
        <v xml:space="preserve"> </v>
      </c>
      <c r="R50" s="161"/>
      <c r="S50" s="9"/>
      <c r="T50" s="9"/>
      <c r="U50" s="9"/>
      <c r="V50" s="9"/>
      <c r="W50" s="9"/>
      <c r="X50" s="9"/>
      <c r="Y50" s="115"/>
      <c r="Z50" s="115"/>
      <c r="AA50" s="115"/>
      <c r="AB50" s="115"/>
      <c r="AC50" s="115"/>
      <c r="AD50" s="115"/>
      <c r="AE50" s="115"/>
      <c r="AF50" s="115"/>
      <c r="AG50" s="9"/>
      <c r="AH50" s="9"/>
      <c r="AI50" s="179"/>
    </row>
    <row r="51" spans="3:35" ht="50.1" customHeight="1" thickTop="1" thickBot="1" x14ac:dyDescent="0.4">
      <c r="C51" s="180"/>
      <c r="D51" s="529"/>
      <c r="E51" s="453" t="str">
        <f>'Demand side'!C13</f>
        <v>D6V2</v>
      </c>
      <c r="F51" s="234" t="str">
        <f>'EAMD Scorecard'!D45</f>
        <v>Perception</v>
      </c>
      <c r="G51" s="226" t="str">
        <f>IFERROR(Calculation!H24," ")</f>
        <v/>
      </c>
      <c r="H51" s="382" t="str">
        <f>IF('EAMD Scorecard'!G45="","",'EAMD Scorecard'!G45)</f>
        <v/>
      </c>
      <c r="I51" s="196"/>
      <c r="L51" s="180"/>
      <c r="M51" s="193"/>
      <c r="N51" s="132"/>
      <c r="O51" s="28"/>
      <c r="P51" s="28"/>
      <c r="Q51" s="28"/>
      <c r="R51" s="161"/>
      <c r="S51" s="9"/>
      <c r="T51" s="9"/>
      <c r="U51" s="9"/>
      <c r="V51" s="9"/>
      <c r="W51" s="9"/>
      <c r="X51" s="9"/>
      <c r="Y51" s="115"/>
      <c r="Z51" s="115"/>
      <c r="AA51" s="115"/>
      <c r="AB51" s="115"/>
      <c r="AC51" s="115"/>
      <c r="AD51" s="115"/>
      <c r="AE51" s="115"/>
      <c r="AF51" s="115"/>
      <c r="AG51" s="9"/>
      <c r="AH51" s="9"/>
      <c r="AI51" s="179"/>
    </row>
    <row r="52" spans="3:35" ht="50.1" customHeight="1" thickTop="1" thickBot="1" x14ac:dyDescent="0.4">
      <c r="C52" s="180"/>
      <c r="D52" s="528" t="str">
        <f>'EAMD Scorecard'!C64</f>
        <v>D7
Productive use</v>
      </c>
      <c r="E52" s="453" t="str">
        <f>'Demand side'!C14</f>
        <v>D7V1</v>
      </c>
      <c r="F52" s="234" t="str">
        <f>'EAMD Scorecard'!D64</f>
        <v>Sales volume of productive use market(s)</v>
      </c>
      <c r="G52" s="226" t="str">
        <f>IFERROR(Calculation!H25," ")</f>
        <v/>
      </c>
      <c r="H52" s="382" t="str">
        <f>IF('EAMD Scorecard'!G64="","",'EAMD Scorecard'!G64)</f>
        <v/>
      </c>
      <c r="I52" s="196"/>
      <c r="L52" s="180"/>
      <c r="M52" s="193"/>
      <c r="N52" s="132"/>
      <c r="O52" s="28"/>
      <c r="P52" s="28"/>
      <c r="Q52" s="28"/>
      <c r="R52" s="161"/>
      <c r="S52" s="9"/>
      <c r="T52" s="9"/>
      <c r="U52" s="9"/>
      <c r="V52" s="9"/>
      <c r="W52" s="9"/>
      <c r="X52" s="9"/>
      <c r="Y52" s="115"/>
      <c r="Z52" s="115"/>
      <c r="AA52" s="115"/>
      <c r="AB52" s="115"/>
      <c r="AC52" s="115"/>
      <c r="AD52" s="115"/>
      <c r="AE52" s="115"/>
      <c r="AF52" s="115"/>
      <c r="AG52" s="9"/>
      <c r="AH52" s="9"/>
      <c r="AI52" s="179"/>
    </row>
    <row r="53" spans="3:35" ht="50.1" customHeight="1" thickTop="1" thickBot="1" x14ac:dyDescent="0.4">
      <c r="C53" s="180"/>
      <c r="D53" s="529"/>
      <c r="E53" s="453" t="str">
        <f>'Demand side'!C15</f>
        <v>D7V2</v>
      </c>
      <c r="F53" s="234" t="str">
        <f>'EAMD Scorecard'!D65</f>
        <v>Economic capacity to invest in productive use</v>
      </c>
      <c r="G53" s="226" t="str">
        <f>IFERROR(Calculation!H26," ")</f>
        <v/>
      </c>
      <c r="H53" s="382" t="str">
        <f>IF('EAMD Scorecard'!G65="","",'EAMD Scorecard'!G65)</f>
        <v/>
      </c>
      <c r="I53" s="196"/>
      <c r="L53" s="180"/>
      <c r="M53" s="193" t="e">
        <f>'EAMD Scorecard'!#REF!</f>
        <v>#REF!</v>
      </c>
      <c r="N53" s="132" t="e">
        <f>'EAMD Scorecard'!#REF!</f>
        <v>#REF!</v>
      </c>
      <c r="O53" s="28" t="str">
        <f>IFERROR(#REF!," ")</f>
        <v xml:space="preserve"> </v>
      </c>
      <c r="P53" s="28" t="str">
        <f>IFERROR(#REF!," ")</f>
        <v xml:space="preserve"> </v>
      </c>
      <c r="Q53" s="28" t="str">
        <f>IFERROR(#REF!," ")</f>
        <v xml:space="preserve"> </v>
      </c>
      <c r="R53" s="214"/>
      <c r="S53" s="9"/>
      <c r="T53" s="9"/>
      <c r="U53" s="9"/>
      <c r="V53" s="9"/>
      <c r="W53" s="9"/>
      <c r="X53" s="9"/>
      <c r="Y53" s="115"/>
      <c r="Z53" s="115"/>
      <c r="AA53" s="115"/>
      <c r="AB53" s="115"/>
      <c r="AC53" s="115"/>
      <c r="AD53" s="115"/>
      <c r="AE53" s="115"/>
      <c r="AF53" s="115"/>
      <c r="AG53" s="9"/>
      <c r="AH53" s="9"/>
      <c r="AI53" s="179"/>
    </row>
    <row r="54" spans="3:35" ht="15" customHeight="1" thickTop="1" thickBot="1" x14ac:dyDescent="0.6">
      <c r="C54" s="180"/>
      <c r="D54" s="221"/>
      <c r="E54" s="237"/>
      <c r="F54" s="238"/>
      <c r="G54" s="227"/>
      <c r="H54" s="148"/>
      <c r="I54" s="179"/>
      <c r="L54" s="180"/>
      <c r="M54" s="148"/>
      <c r="N54" s="148"/>
      <c r="O54" s="148"/>
      <c r="P54" s="148"/>
      <c r="Q54" s="148"/>
      <c r="R54" s="179"/>
      <c r="AI54"/>
    </row>
    <row r="55" spans="3:35" ht="50.1" customHeight="1" thickTop="1" thickBot="1" x14ac:dyDescent="0.45">
      <c r="C55" s="180"/>
      <c r="D55" s="531" t="str">
        <f>'EAMD Scorecard'!C48</f>
        <v>E1
Policy</v>
      </c>
      <c r="E55" s="453" t="str">
        <f>'Enabling environment'!C7</f>
        <v>E1V1</v>
      </c>
      <c r="F55" s="234" t="str">
        <f>'EAMD Scorecard'!D48</f>
        <v>National plans</v>
      </c>
      <c r="G55" s="226" t="str">
        <f>IFERROR(Calculation!H27," ")</f>
        <v/>
      </c>
      <c r="H55" s="382" t="str">
        <f>IF('EAMD Scorecard'!G48="","",'EAMD Scorecard'!G48)</f>
        <v/>
      </c>
      <c r="I55" s="196"/>
      <c r="L55" s="180"/>
      <c r="M55" s="193" t="e">
        <f>'EAMD Scorecard'!#REF!</f>
        <v>#REF!</v>
      </c>
      <c r="N55" s="132" t="e">
        <f>'EAMD Scorecard'!#REF!</f>
        <v>#REF!</v>
      </c>
      <c r="O55" s="28" t="str">
        <f>IFERROR(#REF!," ")</f>
        <v xml:space="preserve"> </v>
      </c>
      <c r="P55" s="28" t="str">
        <f>IFERROR(#REF!," ")</f>
        <v xml:space="preserve"> </v>
      </c>
      <c r="Q55" s="28" t="str">
        <f>IFERROR(#REF!," ")</f>
        <v xml:space="preserve"> </v>
      </c>
      <c r="R55" s="161"/>
      <c r="S55" s="9"/>
      <c r="T55" s="9"/>
      <c r="U55" s="9"/>
      <c r="V55" s="9"/>
      <c r="W55" s="9"/>
      <c r="X55" s="9"/>
      <c r="Y55" s="114" t="s">
        <v>111</v>
      </c>
      <c r="Z55" s="115"/>
      <c r="AA55" s="115"/>
      <c r="AB55" s="115"/>
      <c r="AC55" s="115"/>
      <c r="AD55" s="115"/>
      <c r="AE55" s="115"/>
      <c r="AF55" s="115"/>
      <c r="AG55" s="9"/>
      <c r="AH55" s="9"/>
      <c r="AI55" s="179"/>
    </row>
    <row r="56" spans="3:35" ht="50.1" customHeight="1" thickTop="1" thickBot="1" x14ac:dyDescent="0.4">
      <c r="C56" s="180"/>
      <c r="D56" s="531"/>
      <c r="E56" s="453" t="str">
        <f>'Enabling environment'!C8</f>
        <v>E1V2</v>
      </c>
      <c r="F56" s="234" t="str">
        <f>'EAMD Scorecard'!D49</f>
        <v>Policy</v>
      </c>
      <c r="G56" s="226" t="str">
        <f>IFERROR(Calculation!H28," ")</f>
        <v/>
      </c>
      <c r="H56" s="382" t="str">
        <f>IF('EAMD Scorecard'!G49="","",'EAMD Scorecard'!G49)</f>
        <v/>
      </c>
      <c r="I56" s="196"/>
      <c r="L56" s="180"/>
      <c r="M56" s="193" t="e">
        <f>'EAMD Scorecard'!#REF!</f>
        <v>#REF!</v>
      </c>
      <c r="N56" s="132" t="e">
        <f>'EAMD Scorecard'!#REF!</f>
        <v>#REF!</v>
      </c>
      <c r="O56" s="28" t="str">
        <f>IFERROR(#REF!," ")</f>
        <v xml:space="preserve"> </v>
      </c>
      <c r="P56" s="28" t="str">
        <f>IFERROR(#REF!," ")</f>
        <v xml:space="preserve"> </v>
      </c>
      <c r="Q56" s="28" t="str">
        <f>IFERROR(#REF!," ")</f>
        <v xml:space="preserve"> </v>
      </c>
      <c r="R56" s="161"/>
      <c r="S56" s="9"/>
      <c r="T56" s="9"/>
      <c r="U56" s="9"/>
      <c r="V56" s="9"/>
      <c r="W56" s="9"/>
      <c r="X56" s="9"/>
      <c r="Y56" s="115"/>
      <c r="Z56" s="115"/>
      <c r="AA56" s="115"/>
      <c r="AB56" s="115"/>
      <c r="AC56" s="115"/>
      <c r="AD56" s="115"/>
      <c r="AE56" s="115"/>
      <c r="AF56" s="115"/>
      <c r="AG56" s="9"/>
      <c r="AH56" s="9"/>
      <c r="AI56" s="179"/>
    </row>
    <row r="57" spans="3:35" ht="50.1" customHeight="1" thickTop="1" thickBot="1" x14ac:dyDescent="0.4">
      <c r="C57" s="180"/>
      <c r="D57" s="531"/>
      <c r="E57" s="453" t="str">
        <f>'Enabling environment'!C9</f>
        <v>E1V3</v>
      </c>
      <c r="F57" s="234" t="str">
        <f>'EAMD Scorecard'!D50</f>
        <v>Product taxes</v>
      </c>
      <c r="G57" s="226" t="str">
        <f>IFERROR(Calculation!H29," ")</f>
        <v/>
      </c>
      <c r="H57" s="382" t="str">
        <f>IF('EAMD Scorecard'!G50="","",'EAMD Scorecard'!G50)</f>
        <v/>
      </c>
      <c r="I57" s="196"/>
      <c r="L57" s="180"/>
      <c r="M57" s="193" t="e">
        <f>'EAMD Scorecard'!#REF!</f>
        <v>#REF!</v>
      </c>
      <c r="N57" s="132" t="e">
        <f>'EAMD Scorecard'!#REF!</f>
        <v>#REF!</v>
      </c>
      <c r="O57" s="28" t="str">
        <f>IFERROR(#REF!," ")</f>
        <v xml:space="preserve"> </v>
      </c>
      <c r="P57" s="28" t="str">
        <f>IFERROR(#REF!," ")</f>
        <v xml:space="preserve"> </v>
      </c>
      <c r="Q57" s="28" t="str">
        <f>IFERROR(#REF!," ")</f>
        <v xml:space="preserve"> </v>
      </c>
      <c r="R57" s="161"/>
      <c r="S57" s="9"/>
      <c r="T57" s="9"/>
      <c r="U57" s="9"/>
      <c r="V57" s="9"/>
      <c r="W57" s="9"/>
      <c r="X57" s="9"/>
      <c r="Y57" s="115"/>
      <c r="Z57" s="115"/>
      <c r="AA57" s="115"/>
      <c r="AB57" s="115"/>
      <c r="AC57" s="115"/>
      <c r="AD57" s="115"/>
      <c r="AE57" s="115"/>
      <c r="AF57" s="115"/>
      <c r="AG57" s="9"/>
      <c r="AH57" s="9"/>
      <c r="AI57" s="179"/>
    </row>
    <row r="58" spans="3:35" ht="50.1" customHeight="1" thickTop="1" thickBot="1" x14ac:dyDescent="0.4">
      <c r="C58" s="180"/>
      <c r="D58" s="531" t="str">
        <f>'EAMD Scorecard'!C52</f>
        <v>E2
Access to finance</v>
      </c>
      <c r="E58" s="453" t="str">
        <f>'Enabling environment'!C10</f>
        <v>E2V1</v>
      </c>
      <c r="F58" s="234" t="str">
        <f>'EAMD Scorecard'!D52</f>
        <v>Subsidies</v>
      </c>
      <c r="G58" s="226" t="str">
        <f>IFERROR(Calculation!H30," ")</f>
        <v/>
      </c>
      <c r="H58" s="382" t="str">
        <f>IF('EAMD Scorecard'!G52="","",'EAMD Scorecard'!G52)</f>
        <v/>
      </c>
      <c r="I58" s="196"/>
      <c r="L58" s="180"/>
      <c r="M58" s="193" t="e">
        <f>'EAMD Scorecard'!#REF!</f>
        <v>#REF!</v>
      </c>
      <c r="N58" s="132" t="e">
        <f>'EAMD Scorecard'!#REF!</f>
        <v>#REF!</v>
      </c>
      <c r="O58" s="28" t="str">
        <f>IFERROR(#REF!," ")</f>
        <v xml:space="preserve"> </v>
      </c>
      <c r="P58" s="28" t="str">
        <f>IFERROR(#REF!," ")</f>
        <v xml:space="preserve"> </v>
      </c>
      <c r="Q58" s="28" t="str">
        <f>IFERROR(#REF!," ")</f>
        <v xml:space="preserve"> </v>
      </c>
      <c r="R58" s="161"/>
      <c r="S58" s="9"/>
      <c r="T58" s="9"/>
      <c r="U58" s="9"/>
      <c r="V58" s="9"/>
      <c r="W58" s="9"/>
      <c r="X58" s="9"/>
      <c r="Y58" s="115"/>
      <c r="Z58" s="115"/>
      <c r="AA58" s="115"/>
      <c r="AB58" s="115"/>
      <c r="AC58" s="115"/>
      <c r="AD58" s="115"/>
      <c r="AE58" s="115"/>
      <c r="AF58" s="115"/>
      <c r="AG58" s="9"/>
      <c r="AH58" s="9"/>
      <c r="AI58" s="179"/>
    </row>
    <row r="59" spans="3:35" ht="50.1" customHeight="1" thickTop="1" thickBot="1" x14ac:dyDescent="0.4">
      <c r="C59" s="180"/>
      <c r="D59" s="531"/>
      <c r="E59" s="453" t="str">
        <f>'Enabling environment'!C11</f>
        <v>E2V2</v>
      </c>
      <c r="F59" s="234" t="str">
        <f>'EAMD Scorecard'!D53</f>
        <v>Financing options and investments by suppliers</v>
      </c>
      <c r="G59" s="226" t="str">
        <f>IFERROR(Calculation!H31," ")</f>
        <v/>
      </c>
      <c r="H59" s="382" t="str">
        <f>IF('EAMD Scorecard'!G53="","",'EAMD Scorecard'!G53)</f>
        <v/>
      </c>
      <c r="I59" s="196"/>
      <c r="L59" s="180"/>
      <c r="M59" s="193" t="e">
        <f>'EAMD Scorecard'!#REF!</f>
        <v>#REF!</v>
      </c>
      <c r="N59" s="132" t="e">
        <f>'EAMD Scorecard'!#REF!</f>
        <v>#REF!</v>
      </c>
      <c r="O59" s="28" t="str">
        <f>IFERROR(#REF!," ")</f>
        <v xml:space="preserve"> </v>
      </c>
      <c r="P59" s="28" t="str">
        <f>IFERROR(#REF!," ")</f>
        <v xml:space="preserve"> </v>
      </c>
      <c r="Q59" s="28" t="str">
        <f>IFERROR(#REF!," ")</f>
        <v xml:space="preserve"> </v>
      </c>
      <c r="R59" s="161"/>
      <c r="S59" s="9"/>
      <c r="T59" s="9"/>
      <c r="U59" s="9"/>
      <c r="V59" s="9"/>
      <c r="W59" s="9"/>
      <c r="X59" s="9"/>
      <c r="Y59" s="115"/>
      <c r="Z59" s="115"/>
      <c r="AA59" s="115"/>
      <c r="AB59" s="115"/>
      <c r="AC59" s="115"/>
      <c r="AD59" s="115"/>
      <c r="AE59" s="115"/>
      <c r="AF59" s="115"/>
      <c r="AG59" s="9"/>
      <c r="AH59" s="9"/>
      <c r="AI59" s="179"/>
    </row>
    <row r="60" spans="3:35" ht="50.1" customHeight="1" thickTop="1" thickBot="1" x14ac:dyDescent="0.4">
      <c r="C60" s="180"/>
      <c r="D60" s="531"/>
      <c r="E60" s="453" t="str">
        <f>'Enabling environment'!C12</f>
        <v>E2V3</v>
      </c>
      <c r="F60" s="234" t="str">
        <f>'EAMD Scorecard'!D54</f>
        <v>Financing options for consumers</v>
      </c>
      <c r="G60" s="226" t="str">
        <f>IFERROR(Calculation!H32," ")</f>
        <v/>
      </c>
      <c r="H60" s="382" t="str">
        <f>IF('EAMD Scorecard'!G54="","",'EAMD Scorecard'!G54)</f>
        <v/>
      </c>
      <c r="I60" s="196"/>
      <c r="L60" s="180"/>
      <c r="M60" s="193" t="e">
        <f>'EAMD Scorecard'!#REF!</f>
        <v>#REF!</v>
      </c>
      <c r="N60" s="132" t="e">
        <f>'EAMD Scorecard'!#REF!</f>
        <v>#REF!</v>
      </c>
      <c r="O60" s="28" t="str">
        <f>IFERROR(#REF!," ")</f>
        <v xml:space="preserve"> </v>
      </c>
      <c r="P60" s="28" t="str">
        <f>IFERROR(#REF!," ")</f>
        <v xml:space="preserve"> </v>
      </c>
      <c r="Q60" s="28" t="str">
        <f>IFERROR(#REF!," ")</f>
        <v xml:space="preserve"> </v>
      </c>
      <c r="R60" s="161"/>
      <c r="S60" s="9"/>
      <c r="T60" s="9"/>
      <c r="U60" s="9"/>
      <c r="V60" s="9"/>
      <c r="W60" s="9"/>
      <c r="X60" s="9"/>
      <c r="Y60" s="115"/>
      <c r="Z60" s="115"/>
      <c r="AA60" s="115"/>
      <c r="AB60" s="115"/>
      <c r="AC60" s="115"/>
      <c r="AD60" s="115"/>
      <c r="AE60" s="115"/>
      <c r="AF60" s="115"/>
      <c r="AG60" s="9"/>
      <c r="AH60" s="9"/>
      <c r="AI60" s="179"/>
    </row>
    <row r="61" spans="3:35" ht="50.1" customHeight="1" thickTop="1" thickBot="1" x14ac:dyDescent="0.4">
      <c r="C61" s="180"/>
      <c r="D61" s="531" t="str">
        <f>'EAMD Scorecard'!C55</f>
        <v>E3
Quality regulations, norms and standards</v>
      </c>
      <c r="E61" s="453" t="str">
        <f>'Enabling environment'!C13</f>
        <v>E3V1</v>
      </c>
      <c r="F61" s="234" t="str">
        <f>'EAMD Scorecard'!D55</f>
        <v>Regulation, Norms and standards</v>
      </c>
      <c r="G61" s="226" t="str">
        <f>IFERROR(Calculation!H33," ")</f>
        <v/>
      </c>
      <c r="H61" s="382" t="str">
        <f>IF('EAMD Scorecard'!G55="","",'EAMD Scorecard'!G55)</f>
        <v/>
      </c>
      <c r="I61" s="196"/>
      <c r="L61" s="180"/>
      <c r="M61" s="193" t="e">
        <f>'EAMD Scorecard'!#REF!</f>
        <v>#REF!</v>
      </c>
      <c r="N61" s="132" t="e">
        <f>'EAMD Scorecard'!#REF!</f>
        <v>#REF!</v>
      </c>
      <c r="O61" s="28" t="str">
        <f>IFERROR(#REF!," ")</f>
        <v xml:space="preserve"> </v>
      </c>
      <c r="P61" s="28" t="str">
        <f>IFERROR(#REF!," ")</f>
        <v xml:space="preserve"> </v>
      </c>
      <c r="Q61" s="28" t="str">
        <f>IFERROR(#REF!," ")</f>
        <v xml:space="preserve"> </v>
      </c>
      <c r="R61" s="161"/>
      <c r="S61" s="9"/>
      <c r="T61" s="9"/>
      <c r="U61" s="9"/>
      <c r="V61" s="9"/>
      <c r="W61" s="9"/>
      <c r="X61" s="9"/>
      <c r="Y61" s="115"/>
      <c r="Z61" s="115"/>
      <c r="AA61" s="115"/>
      <c r="AB61" s="115"/>
      <c r="AC61" s="115"/>
      <c r="AD61" s="115"/>
      <c r="AE61" s="115"/>
      <c r="AF61" s="115"/>
      <c r="AG61" s="9"/>
      <c r="AH61" s="9"/>
      <c r="AI61" s="179"/>
    </row>
    <row r="62" spans="3:35" ht="50.1" customHeight="1" thickTop="1" thickBot="1" x14ac:dyDescent="0.4">
      <c r="C62" s="180"/>
      <c r="D62" s="531"/>
      <c r="E62" s="453" t="str">
        <f>'Enabling environment'!C14</f>
        <v>E3V2</v>
      </c>
      <c r="F62" s="234" t="str">
        <f>'EAMD Scorecard'!D56</f>
        <v>Enforcement</v>
      </c>
      <c r="G62" s="226" t="str">
        <f>IFERROR(Calculation!H34," ")</f>
        <v/>
      </c>
      <c r="H62" s="382" t="str">
        <f>IF('EAMD Scorecard'!G56="","",'EAMD Scorecard'!G56)</f>
        <v/>
      </c>
      <c r="I62" s="196"/>
      <c r="L62" s="180"/>
      <c r="M62" s="193" t="e">
        <f>'EAMD Scorecard'!#REF!</f>
        <v>#REF!</v>
      </c>
      <c r="N62" s="132" t="e">
        <f>'EAMD Scorecard'!#REF!</f>
        <v>#REF!</v>
      </c>
      <c r="O62" s="28" t="str">
        <f>IFERROR(#REF!," ")</f>
        <v xml:space="preserve"> </v>
      </c>
      <c r="P62" s="28" t="str">
        <f>IFERROR(#REF!," ")</f>
        <v xml:space="preserve"> </v>
      </c>
      <c r="Q62" s="28" t="str">
        <f>IFERROR(#REF!," ")</f>
        <v xml:space="preserve"> </v>
      </c>
      <c r="R62" s="161"/>
      <c r="S62" s="9"/>
      <c r="T62" s="9"/>
      <c r="U62" s="9"/>
      <c r="V62" s="9"/>
      <c r="W62" s="9"/>
      <c r="X62" s="9"/>
      <c r="Y62" s="115"/>
      <c r="Z62" s="115"/>
      <c r="AA62" s="115"/>
      <c r="AB62" s="115"/>
      <c r="AC62" s="115"/>
      <c r="AD62" s="115"/>
      <c r="AE62" s="115"/>
      <c r="AF62" s="115"/>
      <c r="AG62" s="9"/>
      <c r="AH62" s="9"/>
      <c r="AI62" s="179"/>
    </row>
    <row r="63" spans="3:35" ht="50.1" customHeight="1" thickTop="1" thickBot="1" x14ac:dyDescent="0.4">
      <c r="C63" s="180"/>
      <c r="D63" s="531" t="str">
        <f>'EAMD Scorecard'!C57</f>
        <v>E4
Market information</v>
      </c>
      <c r="E63" s="453" t="str">
        <f>'Enabling environment'!C15</f>
        <v>E4V1</v>
      </c>
      <c r="F63" s="234" t="str">
        <f>'EAMD Scorecard'!D57</f>
        <v>Market information</v>
      </c>
      <c r="G63" s="226" t="str">
        <f>IFERROR(Calculation!H35," ")</f>
        <v/>
      </c>
      <c r="H63" s="382" t="str">
        <f>IF('EAMD Scorecard'!G57="","",'EAMD Scorecard'!G57)</f>
        <v/>
      </c>
      <c r="I63" s="196"/>
      <c r="L63" s="180"/>
      <c r="M63" s="193" t="e">
        <f>'EAMD Scorecard'!#REF!</f>
        <v>#REF!</v>
      </c>
      <c r="N63" s="132" t="e">
        <f>'EAMD Scorecard'!#REF!</f>
        <v>#REF!</v>
      </c>
      <c r="O63" s="28" t="str">
        <f>IFERROR(#REF!," ")</f>
        <v xml:space="preserve"> </v>
      </c>
      <c r="P63" s="28" t="str">
        <f>IFERROR(#REF!," ")</f>
        <v xml:space="preserve"> </v>
      </c>
      <c r="Q63" s="28" t="str">
        <f>IFERROR(#REF!," ")</f>
        <v xml:space="preserve"> </v>
      </c>
      <c r="R63" s="161"/>
      <c r="S63" s="9"/>
      <c r="T63" s="9"/>
      <c r="U63" s="9"/>
      <c r="V63" s="9"/>
      <c r="W63" s="9"/>
      <c r="X63" s="9"/>
      <c r="Y63" s="115"/>
      <c r="Z63" s="115"/>
      <c r="AA63" s="115"/>
      <c r="AB63" s="115"/>
      <c r="AC63" s="115"/>
      <c r="AD63" s="115"/>
      <c r="AE63" s="115"/>
      <c r="AF63" s="115"/>
      <c r="AG63" s="9"/>
      <c r="AH63" s="9"/>
      <c r="AI63" s="179"/>
    </row>
    <row r="64" spans="3:35" ht="50.1" customHeight="1" thickTop="1" thickBot="1" x14ac:dyDescent="0.4">
      <c r="C64" s="180"/>
      <c r="D64" s="531"/>
      <c r="E64" s="453" t="str">
        <f>'Enabling environment'!C16</f>
        <v>E4V2</v>
      </c>
      <c r="F64" s="234" t="str">
        <f>'EAMD Scorecard'!D58</f>
        <v>Market facilitation organisations</v>
      </c>
      <c r="G64" s="226" t="str">
        <f>IFERROR(Calculation!H36," ")</f>
        <v/>
      </c>
      <c r="H64" s="382" t="str">
        <f>IF('EAMD Scorecard'!G58="","",'EAMD Scorecard'!G58)</f>
        <v/>
      </c>
      <c r="I64" s="196"/>
      <c r="L64" s="180"/>
      <c r="M64" s="193" t="e">
        <f>'EAMD Scorecard'!#REF!</f>
        <v>#REF!</v>
      </c>
      <c r="N64" s="132" t="e">
        <f>'EAMD Scorecard'!#REF!</f>
        <v>#REF!</v>
      </c>
      <c r="O64" s="28" t="str">
        <f>IFERROR(#REF!," ")</f>
        <v xml:space="preserve"> </v>
      </c>
      <c r="P64" s="28" t="str">
        <f>IFERROR(#REF!," ")</f>
        <v xml:space="preserve"> </v>
      </c>
      <c r="Q64" s="28" t="str">
        <f>IFERROR(#REF!," ")</f>
        <v xml:space="preserve"> </v>
      </c>
      <c r="R64" s="161"/>
      <c r="S64" s="9"/>
      <c r="T64" s="9"/>
      <c r="U64" s="9"/>
      <c r="V64" s="9"/>
      <c r="W64" s="9"/>
      <c r="X64" s="9"/>
      <c r="Y64" s="115"/>
      <c r="Z64" s="115"/>
      <c r="AA64" s="115"/>
      <c r="AB64" s="115"/>
      <c r="AC64" s="115"/>
      <c r="AD64" s="115"/>
      <c r="AE64" s="115"/>
      <c r="AF64" s="115"/>
      <c r="AG64" s="9"/>
      <c r="AH64" s="9"/>
      <c r="AI64" s="179"/>
    </row>
    <row r="65" spans="3:35" ht="50.1" customHeight="1" thickTop="1" thickBot="1" x14ac:dyDescent="0.4">
      <c r="C65" s="180"/>
      <c r="D65" s="531"/>
      <c r="E65" s="453" t="str">
        <f>'Enabling environment'!C17</f>
        <v>E4V3</v>
      </c>
      <c r="F65" s="234" t="str">
        <f>'EAMD Scorecard'!D59</f>
        <v>Awareness campaigns</v>
      </c>
      <c r="G65" s="226" t="str">
        <f>IFERROR(Calculation!H37," ")</f>
        <v/>
      </c>
      <c r="H65" s="382" t="str">
        <f>IF('EAMD Scorecard'!G59="","",'EAMD Scorecard'!G59)</f>
        <v/>
      </c>
      <c r="I65" s="196"/>
      <c r="L65" s="180"/>
      <c r="M65" s="193" t="e">
        <f>'EAMD Scorecard'!#REF!</f>
        <v>#REF!</v>
      </c>
      <c r="N65" s="132" t="e">
        <f>'EAMD Scorecard'!#REF!</f>
        <v>#REF!</v>
      </c>
      <c r="O65" s="28" t="str">
        <f>IFERROR(#REF!," ")</f>
        <v xml:space="preserve"> </v>
      </c>
      <c r="P65" s="28" t="str">
        <f>IFERROR(#REF!," ")</f>
        <v xml:space="preserve"> </v>
      </c>
      <c r="Q65" s="28" t="str">
        <f>IFERROR(#REF!," ")</f>
        <v xml:space="preserve"> </v>
      </c>
      <c r="R65" s="161"/>
      <c r="S65" s="9"/>
      <c r="T65" s="9"/>
      <c r="U65" s="9"/>
      <c r="V65" s="9"/>
      <c r="W65" s="9"/>
      <c r="X65" s="9"/>
      <c r="Y65" s="115"/>
      <c r="Z65" s="115"/>
      <c r="AA65" s="115"/>
      <c r="AB65" s="115"/>
      <c r="AC65" s="115"/>
      <c r="AD65" s="115"/>
      <c r="AE65" s="115"/>
      <c r="AF65" s="115"/>
      <c r="AG65" s="9"/>
      <c r="AH65" s="9"/>
      <c r="AI65" s="179"/>
    </row>
    <row r="66" spans="3:35" ht="50.1" customHeight="1" thickTop="1" thickBot="1" x14ac:dyDescent="0.4">
      <c r="C66" s="180"/>
      <c r="D66" s="531" t="str">
        <f>'EAMD Scorecard'!C60</f>
        <v>E5
Expertise development</v>
      </c>
      <c r="E66" s="453" t="str">
        <f>'Enabling environment'!C18</f>
        <v>E5V1</v>
      </c>
      <c r="F66" s="234" t="str">
        <f>'EAMD Scorecard'!D60</f>
        <v>Technical courses</v>
      </c>
      <c r="G66" s="226" t="str">
        <f>IFERROR(Calculation!H38," ")</f>
        <v/>
      </c>
      <c r="H66" s="382" t="str">
        <f>IF('EAMD Scorecard'!G60="","",'EAMD Scorecard'!G60)</f>
        <v/>
      </c>
      <c r="I66" s="196"/>
      <c r="L66" s="180"/>
      <c r="M66" s="193" t="e">
        <f>'EAMD Scorecard'!#REF!</f>
        <v>#REF!</v>
      </c>
      <c r="N66" s="132" t="e">
        <f>'EAMD Scorecard'!#REF!</f>
        <v>#REF!</v>
      </c>
      <c r="O66" s="28" t="str">
        <f>IFERROR(#REF!," ")</f>
        <v xml:space="preserve"> </v>
      </c>
      <c r="P66" s="28" t="str">
        <f>IFERROR(#REF!," ")</f>
        <v xml:space="preserve"> </v>
      </c>
      <c r="Q66" s="28" t="str">
        <f>IFERROR(#REF!," ")</f>
        <v xml:space="preserve"> </v>
      </c>
      <c r="R66" s="161"/>
      <c r="S66" s="9"/>
      <c r="T66" s="9"/>
      <c r="U66" s="9"/>
      <c r="V66" s="9"/>
      <c r="W66" s="9"/>
      <c r="X66" s="9"/>
      <c r="Y66" s="115"/>
      <c r="Z66" s="115"/>
      <c r="AA66" s="115"/>
      <c r="AB66" s="115"/>
      <c r="AC66" s="115"/>
      <c r="AD66" s="115"/>
      <c r="AE66" s="115"/>
      <c r="AF66" s="115"/>
      <c r="AG66" s="9"/>
      <c r="AH66" s="9"/>
      <c r="AI66" s="179"/>
    </row>
    <row r="67" spans="3:35" ht="50.1" customHeight="1" thickTop="1" thickBot="1" x14ac:dyDescent="0.4">
      <c r="C67" s="180"/>
      <c r="D67" s="531"/>
      <c r="E67" s="453" t="str">
        <f>'Enabling environment'!C19</f>
        <v>E5V2</v>
      </c>
      <c r="F67" s="234" t="str">
        <f>'EAMD Scorecard'!D61</f>
        <v>Business Development Training</v>
      </c>
      <c r="G67" s="226" t="str">
        <f>IFERROR(Calculation!H39," ")</f>
        <v/>
      </c>
      <c r="H67" s="382" t="str">
        <f>IF('EAMD Scorecard'!G61="","",'EAMD Scorecard'!G61)</f>
        <v/>
      </c>
      <c r="I67" s="196"/>
      <c r="L67" s="180"/>
      <c r="M67" s="193" t="e">
        <f>'EAMD Scorecard'!#REF!</f>
        <v>#REF!</v>
      </c>
      <c r="N67" s="132" t="e">
        <f>'EAMD Scorecard'!#REF!</f>
        <v>#REF!</v>
      </c>
      <c r="O67" s="28" t="str">
        <f>IFERROR(#REF!," ")</f>
        <v xml:space="preserve"> </v>
      </c>
      <c r="P67" s="28" t="str">
        <f>IFERROR(#REF!," ")</f>
        <v xml:space="preserve"> </v>
      </c>
      <c r="Q67" s="28" t="str">
        <f>IFERROR(#REF!," ")</f>
        <v xml:space="preserve"> </v>
      </c>
      <c r="R67" s="161"/>
      <c r="S67" s="9"/>
      <c r="T67" s="9"/>
      <c r="U67" s="9"/>
      <c r="V67" s="9"/>
      <c r="W67" s="9"/>
      <c r="X67" s="9"/>
      <c r="Y67" s="115"/>
      <c r="Z67" s="115"/>
      <c r="AA67" s="115"/>
      <c r="AB67" s="115"/>
      <c r="AC67" s="115"/>
      <c r="AD67" s="115"/>
      <c r="AE67" s="115"/>
      <c r="AF67" s="115"/>
      <c r="AG67" s="9"/>
      <c r="AH67" s="9"/>
      <c r="AI67" s="179"/>
    </row>
    <row r="68" spans="3:35" ht="50.1" customHeight="1" thickTop="1" thickBot="1" x14ac:dyDescent="0.4">
      <c r="C68" s="180"/>
      <c r="D68" s="531"/>
      <c r="E68" s="453" t="str">
        <f>'Enabling environment'!C20</f>
        <v>E5V3</v>
      </c>
      <c r="F68" s="234" t="str">
        <f>'EAMD Scorecard'!D62</f>
        <v>User training</v>
      </c>
      <c r="G68" s="226" t="str">
        <f>IFERROR(Calculation!H40," ")</f>
        <v/>
      </c>
      <c r="H68" s="382" t="str">
        <f>IF('EAMD Scorecard'!G62="","",'EAMD Scorecard'!G62)</f>
        <v/>
      </c>
      <c r="I68" s="196"/>
      <c r="L68" s="180"/>
      <c r="M68" s="193" t="e">
        <f>'EAMD Scorecard'!#REF!</f>
        <v>#REF!</v>
      </c>
      <c r="N68" s="132" t="e">
        <f>'EAMD Scorecard'!#REF!</f>
        <v>#REF!</v>
      </c>
      <c r="O68" s="28" t="str">
        <f>IFERROR(#REF!," ")</f>
        <v xml:space="preserve"> </v>
      </c>
      <c r="P68" s="28" t="str">
        <f>IFERROR(#REF!," ")</f>
        <v xml:space="preserve"> </v>
      </c>
      <c r="Q68" s="28" t="str">
        <f>IFERROR(#REF!," ")</f>
        <v xml:space="preserve"> </v>
      </c>
      <c r="R68" s="214"/>
      <c r="S68" s="9"/>
      <c r="T68" s="9"/>
      <c r="U68" s="9"/>
      <c r="V68" s="9"/>
      <c r="W68" s="9"/>
      <c r="X68" s="9"/>
      <c r="Y68" s="115"/>
      <c r="Z68" s="115"/>
      <c r="AA68" s="115"/>
      <c r="AB68" s="115"/>
      <c r="AC68" s="115"/>
      <c r="AD68" s="115"/>
      <c r="AE68" s="115"/>
      <c r="AF68" s="115"/>
      <c r="AG68" s="9"/>
      <c r="AH68" s="9"/>
      <c r="AI68" s="179"/>
    </row>
    <row r="69" spans="3:35" ht="12.75" customHeight="1" thickTop="1" x14ac:dyDescent="0.35">
      <c r="C69" s="180"/>
      <c r="D69" s="209"/>
      <c r="E69" s="233"/>
      <c r="F69" s="233"/>
      <c r="G69" s="201"/>
      <c r="H69" s="158"/>
      <c r="I69" s="188"/>
      <c r="L69" s="180"/>
      <c r="M69" s="209"/>
      <c r="N69" s="209"/>
      <c r="O69" s="202"/>
      <c r="P69" s="202"/>
      <c r="Q69" s="202"/>
      <c r="R69" s="205"/>
      <c r="S69" s="9"/>
      <c r="T69" s="9"/>
      <c r="U69" s="9"/>
      <c r="V69" s="9"/>
      <c r="W69" s="9"/>
      <c r="X69" s="9"/>
      <c r="Y69" s="115"/>
      <c r="Z69" s="115"/>
      <c r="AA69" s="115"/>
      <c r="AB69" s="115"/>
      <c r="AC69" s="115"/>
      <c r="AD69" s="115"/>
      <c r="AE69" s="115"/>
      <c r="AF69" s="115"/>
      <c r="AG69" s="9"/>
      <c r="AH69" s="9"/>
      <c r="AI69" s="179"/>
    </row>
    <row r="70" spans="3:35" ht="24.75" customHeight="1" x14ac:dyDescent="0.35">
      <c r="C70" s="180"/>
      <c r="D70" s="209"/>
      <c r="E70" s="521" t="s">
        <v>112</v>
      </c>
      <c r="F70" s="521"/>
      <c r="G70" s="202">
        <f>Calculation!Z3</f>
        <v>1</v>
      </c>
      <c r="H70" s="158"/>
      <c r="I70" s="188"/>
      <c r="L70" s="180"/>
      <c r="M70" s="521" t="s">
        <v>112</v>
      </c>
      <c r="N70" s="521"/>
      <c r="O70" s="202" t="e">
        <f>#REF!</f>
        <v>#REF!</v>
      </c>
      <c r="P70" s="202" t="e">
        <f>#REF!</f>
        <v>#REF!</v>
      </c>
      <c r="Q70" s="202" t="e">
        <f>#REF!</f>
        <v>#REF!</v>
      </c>
      <c r="R70" s="205"/>
      <c r="S70" s="9"/>
      <c r="T70" s="9"/>
      <c r="U70" s="9"/>
      <c r="V70" s="9"/>
      <c r="W70" s="9"/>
      <c r="X70" s="9"/>
      <c r="Y70" s="115"/>
      <c r="Z70" s="115"/>
      <c r="AA70" s="115"/>
      <c r="AB70" s="115"/>
      <c r="AC70" s="115"/>
      <c r="AD70" s="115"/>
      <c r="AE70" s="115"/>
      <c r="AF70" s="115"/>
      <c r="AG70" s="9"/>
      <c r="AH70" s="9"/>
      <c r="AI70" s="179"/>
    </row>
    <row r="71" spans="3:35" ht="24" customHeight="1" x14ac:dyDescent="0.35">
      <c r="C71" s="180"/>
      <c r="D71" s="209"/>
      <c r="E71" s="521" t="s">
        <v>113</v>
      </c>
      <c r="F71" s="521"/>
      <c r="G71" s="202">
        <f>Calculation!AA3</f>
        <v>0</v>
      </c>
      <c r="H71" s="158"/>
      <c r="I71" s="188"/>
      <c r="L71" s="180"/>
      <c r="M71" s="521" t="s">
        <v>113</v>
      </c>
      <c r="N71" s="521"/>
      <c r="O71" s="202" t="e">
        <f>#REF!</f>
        <v>#REF!</v>
      </c>
      <c r="P71" s="202" t="e">
        <f>#REF!</f>
        <v>#REF!</v>
      </c>
      <c r="Q71" s="202" t="e">
        <f>#REF!</f>
        <v>#REF!</v>
      </c>
      <c r="R71" s="205"/>
      <c r="S71" s="9"/>
      <c r="T71" s="9"/>
      <c r="U71" s="9"/>
      <c r="V71" s="9"/>
      <c r="W71" s="9"/>
      <c r="X71" s="9"/>
      <c r="Y71" s="115"/>
      <c r="Z71" s="115"/>
      <c r="AA71" s="115"/>
      <c r="AB71" s="115"/>
      <c r="AC71" s="115"/>
      <c r="AD71" s="115"/>
      <c r="AE71" s="115"/>
      <c r="AF71" s="115"/>
      <c r="AG71" s="9"/>
      <c r="AH71" s="9"/>
      <c r="AI71" s="179"/>
    </row>
    <row r="72" spans="3:35" ht="24" customHeight="1" thickBot="1" x14ac:dyDescent="0.4">
      <c r="C72" s="181"/>
      <c r="D72" s="210"/>
      <c r="E72" s="523" t="s">
        <v>114</v>
      </c>
      <c r="F72" s="523"/>
      <c r="G72" s="203">
        <f>Calculation!AB3</f>
        <v>37</v>
      </c>
      <c r="H72" s="204"/>
      <c r="I72" s="189"/>
      <c r="L72" s="181"/>
      <c r="M72" s="523" t="s">
        <v>114</v>
      </c>
      <c r="N72" s="523"/>
      <c r="O72" s="203" t="e">
        <f>#REF!</f>
        <v>#REF!</v>
      </c>
      <c r="P72" s="203" t="e">
        <f>#REF!</f>
        <v>#REF!</v>
      </c>
      <c r="Q72" s="203" t="e">
        <f>#REF!</f>
        <v>#REF!</v>
      </c>
      <c r="R72" s="206"/>
      <c r="S72" s="190"/>
      <c r="T72" s="190"/>
      <c r="U72" s="190"/>
      <c r="V72" s="190"/>
      <c r="W72" s="190"/>
      <c r="X72" s="190"/>
      <c r="Y72" s="191"/>
      <c r="Z72" s="191"/>
      <c r="AA72" s="191"/>
      <c r="AB72" s="191"/>
      <c r="AC72" s="191"/>
      <c r="AD72" s="191"/>
      <c r="AE72" s="191"/>
      <c r="AF72" s="191"/>
      <c r="AG72" s="190"/>
      <c r="AH72" s="190"/>
      <c r="AI72" s="183"/>
    </row>
    <row r="73" spans="3:35" ht="6.75" customHeight="1" thickTop="1" x14ac:dyDescent="0.35">
      <c r="Y73" s="197"/>
      <c r="Z73" s="197"/>
      <c r="AA73" s="197"/>
      <c r="AB73" s="197"/>
      <c r="AC73" s="197"/>
      <c r="AD73" s="197"/>
      <c r="AE73" s="197"/>
      <c r="AF73" s="197"/>
      <c r="AI73"/>
    </row>
    <row r="74" spans="3:35" ht="18.75" customHeight="1" x14ac:dyDescent="0.25">
      <c r="H74" s="383"/>
      <c r="AI74"/>
    </row>
    <row r="78" spans="3:35" ht="18.75" x14ac:dyDescent="0.25">
      <c r="H78" s="383"/>
    </row>
  </sheetData>
  <sheetProtection algorithmName="SHA-512" hashValue="pyIE2CbMVuzt5eO8xBSDirvpfASxpbux/ceC3HQ3wWNDz57bJLTnUIotR8TJB5cDlrCsFhsfFhCxoGEB/WvvKw==" saltValue="xZiIzfoQD+LcQp2WjeGtVA==" spinCount="100000" sheet="1" objects="1" scenarios="1"/>
  <mergeCells count="22">
    <mergeCell ref="M72:N72"/>
    <mergeCell ref="O4:AB4"/>
    <mergeCell ref="N2:AF3"/>
    <mergeCell ref="F4:H4"/>
    <mergeCell ref="D50:D51"/>
    <mergeCell ref="E70:F70"/>
    <mergeCell ref="E71:F71"/>
    <mergeCell ref="E72:F72"/>
    <mergeCell ref="D41:D43"/>
    <mergeCell ref="D36:D39"/>
    <mergeCell ref="D66:D68"/>
    <mergeCell ref="D63:D65"/>
    <mergeCell ref="D61:D62"/>
    <mergeCell ref="D58:D60"/>
    <mergeCell ref="D55:D57"/>
    <mergeCell ref="D52:D53"/>
    <mergeCell ref="D3:H3"/>
    <mergeCell ref="E28:F28"/>
    <mergeCell ref="D33:D34"/>
    <mergeCell ref="M70:N70"/>
    <mergeCell ref="M71:N71"/>
    <mergeCell ref="D29:D32"/>
  </mergeCells>
  <conditionalFormatting sqref="G29:G43 P29:Q43 P45:Q53 P55:Q68">
    <cfRule type="containsBlanks" dxfId="315" priority="485">
      <formula>LEN(TRIM(G29))=0</formula>
    </cfRule>
  </conditionalFormatting>
  <conditionalFormatting sqref="G45:G53">
    <cfRule type="containsBlanks" dxfId="306" priority="6012">
      <formula>LEN(TRIM(G45))=0</formula>
    </cfRule>
  </conditionalFormatting>
  <conditionalFormatting sqref="G55:G68">
    <cfRule type="containsBlanks" dxfId="292" priority="9">
      <formula>LEN(TRIM(G55))=0</formula>
    </cfRule>
  </conditionalFormatting>
  <conditionalFormatting sqref="O29:O34">
    <cfRule type="expression" dxfId="288" priority="207">
      <formula>#REF!=2</formula>
    </cfRule>
    <cfRule type="expression" dxfId="287" priority="208">
      <formula>#REF!=1</formula>
    </cfRule>
    <cfRule type="expression" dxfId="286" priority="209">
      <formula>#REF!=0</formula>
    </cfRule>
  </conditionalFormatting>
  <conditionalFormatting sqref="O29:O43">
    <cfRule type="expression" dxfId="285" priority="206">
      <formula>#REF!=3</formula>
    </cfRule>
    <cfRule type="expression" dxfId="284" priority="205">
      <formula>#REF!=4</formula>
    </cfRule>
  </conditionalFormatting>
  <conditionalFormatting sqref="O35:O42 O55:O57">
    <cfRule type="expression" dxfId="283" priority="2751">
      <formula>#REF!=0</formula>
    </cfRule>
    <cfRule type="expression" dxfId="282" priority="2750">
      <formula>#REF!=1</formula>
    </cfRule>
  </conditionalFormatting>
  <conditionalFormatting sqref="O43 O45:O48 O53 O58:O68">
    <cfRule type="expression" dxfId="281" priority="2570">
      <formula>#REF!=1</formula>
    </cfRule>
    <cfRule type="expression" dxfId="280" priority="2571">
      <formula>#REF!=0</formula>
    </cfRule>
  </conditionalFormatting>
  <conditionalFormatting sqref="O45:O48 O53 O58:O68 O43">
    <cfRule type="expression" dxfId="279" priority="2569">
      <formula>#REF!=2</formula>
    </cfRule>
  </conditionalFormatting>
  <conditionalFormatting sqref="O45:O53 O55:O68">
    <cfRule type="expression" dxfId="278" priority="2568">
      <formula>#REF!=3</formula>
    </cfRule>
    <cfRule type="expression" dxfId="277" priority="2567">
      <formula>#REF!=4</formula>
    </cfRule>
  </conditionalFormatting>
  <conditionalFormatting sqref="O49:O52">
    <cfRule type="expression" dxfId="276" priority="4934">
      <formula>#REF!=0</formula>
    </cfRule>
    <cfRule type="expression" dxfId="275" priority="4933">
      <formula>#REF!=1</formula>
    </cfRule>
  </conditionalFormatting>
  <conditionalFormatting sqref="O69:O72">
    <cfRule type="expression" dxfId="274" priority="58">
      <formula>$O$70=0</formula>
    </cfRule>
  </conditionalFormatting>
  <conditionalFormatting sqref="O35:P42 O55:P57">
    <cfRule type="expression" dxfId="273" priority="2749">
      <formula>#REF!=2</formula>
    </cfRule>
  </conditionalFormatting>
  <conditionalFormatting sqref="O49:P52">
    <cfRule type="expression" dxfId="272" priority="4932">
      <formula>#REF!=2</formula>
    </cfRule>
  </conditionalFormatting>
  <conditionalFormatting sqref="O28:R28">
    <cfRule type="containsBlanks" dxfId="271" priority="55">
      <formula>LEN(TRIM(O28))=0</formula>
    </cfRule>
  </conditionalFormatting>
  <conditionalFormatting sqref="P29:P34">
    <cfRule type="expression" dxfId="270" priority="62">
      <formula>#REF!=4</formula>
    </cfRule>
    <cfRule type="expression" dxfId="269" priority="60">
      <formula>#REF!=2</formula>
    </cfRule>
    <cfRule type="expression" dxfId="268" priority="59">
      <formula>#REF!=1</formula>
    </cfRule>
    <cfRule type="expression" dxfId="267" priority="61">
      <formula>#REF!=3</formula>
    </cfRule>
    <cfRule type="expression" dxfId="266" priority="63">
      <formula>#REF!=0</formula>
    </cfRule>
  </conditionalFormatting>
  <conditionalFormatting sqref="P35:P42 P55:P57">
    <cfRule type="expression" dxfId="265" priority="2770">
      <formula>#REF!=4</formula>
    </cfRule>
    <cfRule type="expression" dxfId="264" priority="2771">
      <formula>#REF!=0</formula>
    </cfRule>
    <cfRule type="expression" dxfId="263" priority="2769">
      <formula>#REF!=3</formula>
    </cfRule>
  </conditionalFormatting>
  <conditionalFormatting sqref="P35:P43 P45:P53 P55:P68">
    <cfRule type="expression" dxfId="262" priority="2587">
      <formula>#REF!=1</formula>
    </cfRule>
  </conditionalFormatting>
  <conditionalFormatting sqref="P43 P45:P48 P53 P58:P68">
    <cfRule type="expression" dxfId="261" priority="2588">
      <formula>#REF!=2</formula>
    </cfRule>
    <cfRule type="expression" dxfId="260" priority="2589">
      <formula>#REF!=3</formula>
    </cfRule>
    <cfRule type="expression" dxfId="259" priority="2590">
      <formula>#REF!=4</formula>
    </cfRule>
    <cfRule type="expression" dxfId="258" priority="2591">
      <formula>#REF!=0</formula>
    </cfRule>
  </conditionalFormatting>
  <conditionalFormatting sqref="P49:P52">
    <cfRule type="expression" dxfId="257" priority="4943">
      <formula>#REF!=4</formula>
    </cfRule>
    <cfRule type="expression" dxfId="256" priority="4942">
      <formula>#REF!=3</formula>
    </cfRule>
    <cfRule type="expression" dxfId="255" priority="4944">
      <formula>#REF!=0</formula>
    </cfRule>
  </conditionalFormatting>
  <conditionalFormatting sqref="P69:P72">
    <cfRule type="expression" dxfId="254" priority="57">
      <formula>$P$70=0</formula>
    </cfRule>
  </conditionalFormatting>
  <conditionalFormatting sqref="Q69:Q72">
    <cfRule type="expression" dxfId="233" priority="56">
      <formula>$Q$70=0</formula>
    </cfRule>
  </conditionalFormatting>
  <printOptions horizontalCentered="1" verticalCentered="1"/>
  <pageMargins left="0.19685039370078741" right="0.19685039370078741" top="0.35433070866141736" bottom="0.35433070866141736" header="0" footer="0"/>
  <pageSetup paperSize="9" scale="28" orientation="portrait" r:id="rId1"/>
  <rowBreaks count="1" manualBreakCount="1">
    <brk id="72" max="16383" man="1"/>
  </rowBreaks>
  <colBreaks count="1" manualBreakCount="1">
    <brk id="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0" id="{FF556BD2-F285-4A84-847E-BA90DC716A53}">
            <xm:f>Calculation!$F3=3.5</xm:f>
            <x14:dxf>
              <fill>
                <patternFill patternType="darkVertical">
                  <fgColor rgb="FF92D050"/>
                  <bgColor rgb="FFFFFF00"/>
                </patternFill>
              </fill>
            </x14:dxf>
          </x14:cfRule>
          <x14:cfRule type="expression" priority="19" id="{C9D7C30E-9EE1-451A-8BF7-E62D5268D359}">
            <xm:f>Calculation!$F3=4</xm:f>
            <x14:dxf>
              <fill>
                <patternFill>
                  <bgColor rgb="FF92D050"/>
                </patternFill>
              </fill>
            </x14:dxf>
          </x14:cfRule>
          <x14:cfRule type="expression" priority="482" id="{06B477EA-C0E4-4385-93ED-F79EF2DD7AF8}">
            <xm:f>Calculation!$F3=2</xm:f>
            <x14:dxf>
              <fill>
                <patternFill>
                  <bgColor rgb="FFFFC000"/>
                </patternFill>
              </fill>
            </x14:dxf>
          </x14:cfRule>
          <x14:cfRule type="expression" priority="21" id="{20722F54-D88D-48E9-B68B-5FB59A32F76D}">
            <xm:f>Calculation!$F3=3</xm:f>
            <x14:dxf>
              <fill>
                <patternFill>
                  <bgColor rgb="FFFFFF00"/>
                </patternFill>
              </fill>
            </x14:dxf>
          </x14:cfRule>
          <x14:cfRule type="expression" priority="481" id="{5428214A-E5E5-4ED3-AE08-4D3C7882BB64}">
            <xm:f>Calculation!$F3=2.5</xm:f>
            <x14:dxf>
              <fill>
                <patternFill patternType="darkVertical">
                  <fgColor rgb="FFFFC000"/>
                  <bgColor rgb="FFFFFF00"/>
                </patternFill>
              </fill>
            </x14:dxf>
          </x14:cfRule>
          <x14:cfRule type="expression" priority="2739" id="{CA007E16-95D2-4D7C-896F-1DE72C8E6F76}">
            <xm:f>Calculation!$F3=0</xm:f>
            <x14:dxf>
              <fill>
                <patternFill>
                  <bgColor theme="0"/>
                </patternFill>
              </fill>
            </x14:dxf>
          </x14:cfRule>
          <x14:cfRule type="expression" priority="484" id="{546DFEFE-737D-41B3-B7C5-328B9992AE3E}">
            <xm:f>Calculation!$F3=1</xm:f>
            <x14:dxf>
              <fill>
                <patternFill>
                  <bgColor rgb="FFFF0000"/>
                </patternFill>
              </fill>
            </x14:dxf>
          </x14:cfRule>
          <x14:cfRule type="expression" priority="483" id="{A1DBFABA-1CBA-4A4D-8BC9-40654105234A}">
            <xm:f>Calculation!$F3=1.5</xm:f>
            <x14:dxf>
              <fill>
                <patternFill patternType="darkVertical">
                  <fgColor rgb="FFFF0000"/>
                  <bgColor rgb="FFFF9900"/>
                </patternFill>
              </fill>
            </x14:dxf>
          </x14:cfRule>
          <xm:sqref>G29:G43 Q29:Q43</xm:sqref>
        </x14:conditionalFormatting>
        <x14:conditionalFormatting xmlns:xm="http://schemas.microsoft.com/office/excel/2006/main">
          <x14:cfRule type="expression" priority="6011" id="{2E1B25E2-360B-4A99-8A54-BB932586A4D9}">
            <xm:f>Calculation!$F18=0</xm:f>
            <x14:dxf>
              <fill>
                <patternFill>
                  <bgColor theme="0"/>
                </patternFill>
              </fill>
            </x14:dxf>
          </x14:cfRule>
          <x14:cfRule type="expression" priority="6010" id="{DA21FB66-24AC-433D-8930-BAF6C3CC6C4B}">
            <xm:f>Calculation!$F18=1</xm:f>
            <x14:dxf>
              <fill>
                <patternFill>
                  <bgColor rgb="FFFF0000"/>
                </patternFill>
              </fill>
            </x14:dxf>
          </x14:cfRule>
          <x14:cfRule type="expression" priority="6009" id="{C91372B4-DB73-41FD-8135-818BB51454F5}">
            <xm:f>Calculation!$F18=1.5</xm:f>
            <x14:dxf>
              <fill>
                <patternFill patternType="darkVertical">
                  <fgColor rgb="FFFF0000"/>
                  <bgColor rgb="FFFF9900"/>
                </patternFill>
              </fill>
            </x14:dxf>
          </x14:cfRule>
          <x14:cfRule type="expression" priority="6006" id="{3B61D72F-E0B2-4650-BE73-821FC7B99A82}">
            <xm:f>Calculation!$F18=3</xm:f>
            <x14:dxf>
              <fill>
                <patternFill>
                  <bgColor rgb="FFFFFF00"/>
                </patternFill>
              </fill>
            </x14:dxf>
          </x14:cfRule>
          <x14:cfRule type="expression" priority="6005" id="{12D6E136-AD29-462E-95F8-CBD802D54F49}">
            <xm:f>Calculation!$F18=3.5</xm:f>
            <x14:dxf>
              <fill>
                <patternFill patternType="darkVertical">
                  <fgColor rgb="FF92D050"/>
                  <bgColor rgb="FFFFFF00"/>
                </patternFill>
              </fill>
            </x14:dxf>
          </x14:cfRule>
          <x14:cfRule type="expression" priority="6004" id="{2A2D5402-2AF0-41DD-8BE2-54055780E32F}">
            <xm:f>Calculation!$F18=4</xm:f>
            <x14:dxf>
              <fill>
                <patternFill>
                  <bgColor rgb="FF92D050"/>
                </patternFill>
              </fill>
            </x14:dxf>
          </x14:cfRule>
          <x14:cfRule type="expression" priority="6007" id="{E0B31335-8F72-4985-9182-BFE43CF44C76}">
            <xm:f>Calculation!$F18=2.5</xm:f>
            <x14:dxf>
              <fill>
                <patternFill patternType="darkVertical">
                  <fgColor rgb="FFFFC000"/>
                  <bgColor rgb="FFFFFF00"/>
                </patternFill>
              </fill>
            </x14:dxf>
          </x14:cfRule>
          <x14:cfRule type="expression" priority="6008" id="{09D19040-E433-4B07-AE67-E1D2AE5F129F}">
            <xm:f>Calculation!$F18=2</xm:f>
            <x14:dxf>
              <fill>
                <patternFill>
                  <bgColor rgb="FFFFC000"/>
                </patternFill>
              </fill>
            </x14:dxf>
          </x14:cfRule>
          <xm:sqref>G45:G53</xm:sqref>
        </x14:conditionalFormatting>
        <x14:conditionalFormatting xmlns:xm="http://schemas.microsoft.com/office/excel/2006/main">
          <x14:cfRule type="expression" priority="2" id="{8F9A876C-85FE-4DFF-ABB7-D9723D7FF985}">
            <xm:f>Calculation!$F27=3.5</xm:f>
            <x14:dxf>
              <fill>
                <patternFill patternType="darkVertical">
                  <fgColor rgb="FF92D050"/>
                  <bgColor rgb="FFFFFF00"/>
                </patternFill>
              </fill>
            </x14:dxf>
          </x14:cfRule>
          <x14:cfRule type="expression" priority="3" id="{82EDB719-14BF-4319-8A6C-7AED4555772A}">
            <xm:f>Calculation!$F27=3</xm:f>
            <x14:dxf>
              <fill>
                <patternFill>
                  <bgColor rgb="FFFFFF00"/>
                </patternFill>
              </fill>
            </x14:dxf>
          </x14:cfRule>
          <x14:cfRule type="expression" priority="4" id="{7C96E47D-F762-42D8-8C28-7B171AB43F9F}">
            <xm:f>Calculation!$F27=2.5</xm:f>
            <x14:dxf>
              <fill>
                <patternFill patternType="darkVertical">
                  <fgColor rgb="FFFFC000"/>
                  <bgColor rgb="FFFFFF00"/>
                </patternFill>
              </fill>
            </x14:dxf>
          </x14:cfRule>
          <x14:cfRule type="expression" priority="5" id="{902B4626-D4E1-41E9-82DE-52FB62BCEB57}">
            <xm:f>Calculation!$F27=2</xm:f>
            <x14:dxf>
              <fill>
                <patternFill>
                  <bgColor rgb="FFFFC000"/>
                </patternFill>
              </fill>
            </x14:dxf>
          </x14:cfRule>
          <x14:cfRule type="expression" priority="1" id="{68D379B7-E153-46AE-A999-6C7BFB6C5C6A}">
            <xm:f>Calculation!$F27=4</xm:f>
            <x14:dxf>
              <fill>
                <patternFill>
                  <bgColor rgb="FF92D050"/>
                </patternFill>
              </fill>
            </x14:dxf>
          </x14:cfRule>
          <x14:cfRule type="expression" priority="8" id="{E68AB7A4-E4F8-4D36-97DE-0B5DA9CF6D84}">
            <xm:f>Calculation!$F27=0</xm:f>
            <x14:dxf>
              <fill>
                <patternFill>
                  <bgColor theme="0"/>
                </patternFill>
              </fill>
            </x14:dxf>
          </x14:cfRule>
          <x14:cfRule type="expression" priority="7" id="{4B58E54E-6E11-4909-8F7E-53FAFF54C006}">
            <xm:f>Calculation!$F27=1</xm:f>
            <x14:dxf>
              <fill>
                <patternFill>
                  <bgColor rgb="FFFF0000"/>
                </patternFill>
              </fill>
            </x14:dxf>
          </x14:cfRule>
          <x14:cfRule type="expression" priority="6" id="{43260E30-1C8F-45FD-94A7-A9323D32A158}">
            <xm:f>Calculation!$F27=1.5</xm:f>
            <x14:dxf>
              <fill>
                <patternFill patternType="darkVertical">
                  <fgColor rgb="FFFF0000"/>
                  <bgColor rgb="FFFF9900"/>
                </patternFill>
              </fill>
            </x14:dxf>
          </x14:cfRule>
          <xm:sqref>G55:G68</xm:sqref>
        </x14:conditionalFormatting>
        <x14:conditionalFormatting xmlns:xm="http://schemas.microsoft.com/office/excel/2006/main">
          <x14:cfRule type="expression" priority="6017" id="{CA007E16-95D2-4D7C-896F-1DE72C8E6F76}">
            <xm:f>Calculation!$F18=0</xm:f>
            <x14:dxf>
              <fill>
                <patternFill>
                  <bgColor theme="0"/>
                </patternFill>
              </fill>
            </x14:dxf>
          </x14:cfRule>
          <x14:cfRule type="expression" priority="6013" id="{C9D7C30E-9EE1-451A-8BF7-E62D5268D359}">
            <xm:f>Calculation!$F18=4</xm:f>
            <x14:dxf>
              <fill>
                <patternFill>
                  <bgColor rgb="FF92D050"/>
                </patternFill>
              </fill>
            </x14:dxf>
          </x14:cfRule>
          <x14:cfRule type="expression" priority="6014" id="{20722F54-D88D-48E9-B68B-5FB59A32F76D}">
            <xm:f>Calculation!$F18=3</xm:f>
            <x14:dxf>
              <fill>
                <patternFill>
                  <bgColor rgb="FFFFFF00"/>
                </patternFill>
              </fill>
            </x14:dxf>
          </x14:cfRule>
          <x14:cfRule type="expression" priority="6015" id="{06B477EA-C0E4-4385-93ED-F79EF2DD7AF8}">
            <xm:f>Calculation!$F18=2</xm:f>
            <x14:dxf>
              <fill>
                <patternFill>
                  <bgColor rgb="FFFFC000"/>
                </patternFill>
              </fill>
            </x14:dxf>
          </x14:cfRule>
          <x14:cfRule type="expression" priority="6016" id="{546DFEFE-737D-41B3-B7C5-328B9992AE3E}">
            <xm:f>Calculation!$F18=1</xm:f>
            <x14:dxf>
              <fill>
                <patternFill>
                  <bgColor rgb="FFFF0000"/>
                </patternFill>
              </fill>
            </x14:dxf>
          </x14:cfRule>
          <xm:sqref>Q45:Q51</xm:sqref>
        </x14:conditionalFormatting>
        <x14:conditionalFormatting xmlns:xm="http://schemas.microsoft.com/office/excel/2006/main">
          <x14:cfRule type="expression" priority="5648" id="{546DFEFE-737D-41B3-B7C5-328B9992AE3E}">
            <xm:f>Calculation!$F27=1</xm:f>
            <x14:dxf>
              <fill>
                <patternFill>
                  <bgColor rgb="FFFF0000"/>
                </patternFill>
              </fill>
            </x14:dxf>
          </x14:cfRule>
          <x14:cfRule type="expression" priority="5649" id="{CA007E16-95D2-4D7C-896F-1DE72C8E6F76}">
            <xm:f>Calculation!$F27=0</xm:f>
            <x14:dxf>
              <fill>
                <patternFill>
                  <bgColor theme="0"/>
                </patternFill>
              </fill>
            </x14:dxf>
          </x14:cfRule>
          <x14:cfRule type="expression" priority="5645" id="{C9D7C30E-9EE1-451A-8BF7-E62D5268D359}">
            <xm:f>Calculation!$F27=4</xm:f>
            <x14:dxf>
              <fill>
                <patternFill>
                  <bgColor rgb="FF92D050"/>
                </patternFill>
              </fill>
            </x14:dxf>
          </x14:cfRule>
          <x14:cfRule type="expression" priority="5646" id="{20722F54-D88D-48E9-B68B-5FB59A32F76D}">
            <xm:f>Calculation!$F27=3</xm:f>
            <x14:dxf>
              <fill>
                <patternFill>
                  <bgColor rgb="FFFFFF00"/>
                </patternFill>
              </fill>
            </x14:dxf>
          </x14:cfRule>
          <x14:cfRule type="expression" priority="5647" id="{06B477EA-C0E4-4385-93ED-F79EF2DD7AF8}">
            <xm:f>Calculation!$F27=2</xm:f>
            <x14:dxf>
              <fill>
                <patternFill>
                  <bgColor rgb="FFFFC000"/>
                </patternFill>
              </fill>
            </x14:dxf>
          </x14:cfRule>
          <xm:sqref>Q52</xm:sqref>
        </x14:conditionalFormatting>
        <x14:conditionalFormatting xmlns:xm="http://schemas.microsoft.com/office/excel/2006/main">
          <x14:cfRule type="expression" priority="2438" id="{C9D7C30E-9EE1-451A-8BF7-E62D5268D359}">
            <xm:f>Calculation!$F24=4</xm:f>
            <x14:dxf>
              <fill>
                <patternFill>
                  <bgColor rgb="FF92D050"/>
                </patternFill>
              </fill>
            </x14:dxf>
          </x14:cfRule>
          <x14:cfRule type="expression" priority="2501" id="{06B477EA-C0E4-4385-93ED-F79EF2DD7AF8}">
            <xm:f>Calculation!$F24=2</xm:f>
            <x14:dxf>
              <fill>
                <patternFill>
                  <bgColor rgb="FFFFC000"/>
                </patternFill>
              </fill>
            </x14:dxf>
          </x14:cfRule>
          <x14:cfRule type="expression" priority="2500" id="{20722F54-D88D-48E9-B68B-5FB59A32F76D}">
            <xm:f>Calculation!$F24=3</xm:f>
            <x14:dxf>
              <fill>
                <patternFill>
                  <bgColor rgb="FFFFFF00"/>
                </patternFill>
              </fill>
            </x14:dxf>
          </x14:cfRule>
          <x14:cfRule type="expression" priority="2503" id="{CA007E16-95D2-4D7C-896F-1DE72C8E6F76}">
            <xm:f>Calculation!$F24=0</xm:f>
            <x14:dxf>
              <fill>
                <patternFill>
                  <bgColor theme="0"/>
                </patternFill>
              </fill>
            </x14:dxf>
          </x14:cfRule>
          <x14:cfRule type="expression" priority="2502" id="{546DFEFE-737D-41B3-B7C5-328B9992AE3E}">
            <xm:f>Calculation!$F24=1</xm:f>
            <x14:dxf>
              <fill>
                <patternFill>
                  <bgColor rgb="FFFF0000"/>
                </patternFill>
              </fill>
            </x14:dxf>
          </x14:cfRule>
          <xm:sqref>Q53</xm:sqref>
        </x14:conditionalFormatting>
        <x14:conditionalFormatting xmlns:xm="http://schemas.microsoft.com/office/excel/2006/main">
          <x14:cfRule type="expression" priority="2729" id="{CA007E16-95D2-4D7C-896F-1DE72C8E6F76}">
            <xm:f>Calculation!$F27=0</xm:f>
            <x14:dxf>
              <fill>
                <patternFill>
                  <bgColor theme="0"/>
                </patternFill>
              </fill>
            </x14:dxf>
          </x14:cfRule>
          <x14:cfRule type="expression" priority="2728" id="{546DFEFE-737D-41B3-B7C5-328B9992AE3E}">
            <xm:f>Calculation!$F27=1</xm:f>
            <x14:dxf>
              <fill>
                <patternFill>
                  <bgColor rgb="FFFF0000"/>
                </patternFill>
              </fill>
            </x14:dxf>
          </x14:cfRule>
          <x14:cfRule type="expression" priority="2727" id="{06B477EA-C0E4-4385-93ED-F79EF2DD7AF8}">
            <xm:f>Calculation!$F27=2</xm:f>
            <x14:dxf>
              <fill>
                <patternFill>
                  <bgColor rgb="FFFFC000"/>
                </patternFill>
              </fill>
            </x14:dxf>
          </x14:cfRule>
          <x14:cfRule type="expression" priority="2726" id="{20722F54-D88D-48E9-B68B-5FB59A32F76D}">
            <xm:f>Calculation!$F27=3</xm:f>
            <x14:dxf>
              <fill>
                <patternFill>
                  <bgColor rgb="FFFFFF00"/>
                </patternFill>
              </fill>
            </x14:dxf>
          </x14:cfRule>
          <x14:cfRule type="expression" priority="2513" id="{C9D7C30E-9EE1-451A-8BF7-E62D5268D359}">
            <xm:f>Calculation!$F27=4</xm:f>
            <x14:dxf>
              <fill>
                <patternFill>
                  <bgColor rgb="FF92D050"/>
                </patternFill>
              </fill>
            </x14:dxf>
          </x14:cfRule>
          <xm:sqref>Q55:Q68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7">
    <tabColor theme="3" tint="0.59999389629810485"/>
    <pageSetUpPr fitToPage="1"/>
  </sheetPr>
  <dimension ref="A1:Y613"/>
  <sheetViews>
    <sheetView showGridLines="0" zoomScale="60" zoomScaleNormal="60" workbookViewId="0">
      <selection activeCell="J4" sqref="J4:K4"/>
    </sheetView>
  </sheetViews>
  <sheetFormatPr defaultColWidth="11.42578125" defaultRowHeight="26.25" x14ac:dyDescent="0.25"/>
  <cols>
    <col min="1" max="1" width="3.7109375" customWidth="1"/>
    <col min="2" max="2" width="5.7109375" style="51" customWidth="1"/>
    <col min="3" max="3" width="25.7109375" style="52" customWidth="1"/>
    <col min="4" max="5" width="25.7109375" style="32" customWidth="1"/>
    <col min="6" max="6" width="15.7109375" style="32" customWidth="1"/>
    <col min="7" max="7" width="60.7109375" style="32" customWidth="1"/>
    <col min="8" max="8" width="15.7109375" style="32" customWidth="1"/>
    <col min="9" max="9" width="3.7109375" style="32" customWidth="1"/>
    <col min="10" max="10" width="5.7109375" style="32" customWidth="1"/>
    <col min="11" max="11" width="25.7109375" customWidth="1"/>
    <col min="12" max="13" width="25.7109375" style="32" customWidth="1"/>
    <col min="14" max="14" width="15.7109375" style="32" customWidth="1"/>
    <col min="15" max="15" width="60.7109375" style="32" customWidth="1"/>
    <col min="16" max="16" width="15.7109375" style="32" customWidth="1"/>
    <col min="17" max="17" width="3.7109375" style="32" customWidth="1"/>
    <col min="18" max="18" width="5.7109375" style="32" customWidth="1"/>
    <col min="19" max="19" width="25.7109375" customWidth="1"/>
    <col min="20" max="21" width="25.7109375" style="32" customWidth="1"/>
    <col min="22" max="22" width="15.7109375" style="32" customWidth="1"/>
    <col min="23" max="23" width="60.7109375" style="32" customWidth="1"/>
    <col min="24" max="24" width="15.7109375" style="32" customWidth="1"/>
    <col min="25" max="25" width="3.7109375" style="32" customWidth="1"/>
    <col min="26" max="16384" width="11.42578125" style="32"/>
  </cols>
  <sheetData>
    <row r="1" spans="1:25" ht="12.75" customHeight="1" thickBot="1" x14ac:dyDescent="0.3">
      <c r="A1" s="246"/>
      <c r="B1" s="247"/>
      <c r="C1" s="254"/>
      <c r="D1" s="244"/>
      <c r="E1" s="244"/>
      <c r="F1" s="244"/>
      <c r="G1" s="244"/>
      <c r="H1" s="244"/>
      <c r="I1" s="244"/>
      <c r="J1" s="244"/>
      <c r="K1" s="246"/>
      <c r="L1" s="244"/>
      <c r="M1" s="244"/>
      <c r="N1" s="244"/>
      <c r="O1" s="244"/>
      <c r="P1" s="244"/>
      <c r="Q1" s="244"/>
      <c r="R1" s="244"/>
      <c r="S1" s="246"/>
      <c r="T1" s="244"/>
      <c r="U1" s="244"/>
      <c r="V1" s="244"/>
      <c r="W1" s="244"/>
      <c r="X1" s="244"/>
      <c r="Y1" s="244"/>
    </row>
    <row r="2" spans="1:25" ht="33" thickTop="1" thickBot="1" x14ac:dyDescent="0.3">
      <c r="A2" s="246"/>
      <c r="B2" s="579" t="str">
        <f>VLOOKUP("Energy Market Scorecard",Labels!$A$1:$C$1002,IF(LanguageSelection="FR",3,2),FALSE)</f>
        <v>Energy Market Scorecard</v>
      </c>
      <c r="C2" s="580"/>
      <c r="D2" s="580"/>
      <c r="E2" s="580"/>
      <c r="F2" s="580"/>
      <c r="G2" s="580"/>
      <c r="H2" s="581"/>
      <c r="I2" s="244"/>
      <c r="J2" s="569" t="str">
        <f>_xlfn.CONCAT(VLOOKUP("Previous assessment 1",Labels!$A$1:$C$1002,IF(LanguageSelection="FR",3,2),FALSE)," ",VLOOKUP("(cut-n-paste in the blue cells)",Labels!$A$1:$C$1002,IF(LanguageSelection="FR",3,2),FALSE))</f>
        <v>Previous assessment 1  (cut-n-paste in the blue cells)</v>
      </c>
      <c r="K2" s="570"/>
      <c r="L2" s="570"/>
      <c r="M2" s="570"/>
      <c r="N2" s="570"/>
      <c r="O2" s="570"/>
      <c r="P2" s="571"/>
      <c r="Q2" s="244"/>
      <c r="R2" s="554" t="str">
        <f>_xlfn.CONCAT(VLOOKUP("Previous assessment 2",Labels!$A$1:$C$1002,IF(LanguageSelection="FR",3,2),FALSE)," ",VLOOKUP("(cut-n-paste in the blue cells)",Labels!$A$1:$C$1002,IF(LanguageSelection="FR",3,2),FALSE))</f>
        <v>Previous assessment 2 (cut-n-paste in the blue cells)</v>
      </c>
      <c r="S2" s="555"/>
      <c r="T2" s="555"/>
      <c r="U2" s="555"/>
      <c r="V2" s="555"/>
      <c r="W2" s="555"/>
      <c r="X2" s="556"/>
      <c r="Y2" s="244"/>
    </row>
    <row r="3" spans="1:25" ht="39.950000000000003" customHeight="1" thickTop="1" thickBot="1" x14ac:dyDescent="0.3">
      <c r="A3" s="246"/>
      <c r="B3" s="582" t="str">
        <f>VLOOKUP("Country",Labels!$A$1:$C$3,IF(LanguageSelection="FR",3,2),FALSE)</f>
        <v>Country</v>
      </c>
      <c r="C3" s="582"/>
      <c r="D3" s="437" t="str">
        <f>VLOOKUP("Year",Labels!$A$1:$C$1001,IF(LanguageSelection="FR",3,2),FALSE)</f>
        <v>Year</v>
      </c>
      <c r="E3" s="62" t="str">
        <f>VLOOKUP("Technology",Labels!$A$1:$C$1001,IF(LanguageSelection="FR",3,2),FALSE)</f>
        <v>Technology</v>
      </c>
      <c r="F3" s="559" t="str">
        <f>VLOOKUP("Brief Market Description what are you looking at?",Labels!$A$1:$C$1002,IF(LanguageSelection="FR",3,2),FALSE)</f>
        <v>Brief Market Description: 
what are you looking at?</v>
      </c>
      <c r="G3" s="560"/>
      <c r="H3" s="561"/>
      <c r="I3" s="244"/>
      <c r="J3" s="557" t="str">
        <f>VLOOKUP("Country",Labels!$A$1:$C$3,IF(LanguageSelection="FR",3,2),FALSE)</f>
        <v>Country</v>
      </c>
      <c r="K3" s="558"/>
      <c r="L3" s="60" t="str">
        <f>VLOOKUP("Year",Labels!$A$1:$C$1001,IF(LanguageSelection="FR",3,2),FALSE)</f>
        <v>Year</v>
      </c>
      <c r="M3" s="62" t="str">
        <f>VLOOKUP("Technology",Labels!$A$1:$C$1001,IF(LanguageSelection="FR",3,2),FALSE)</f>
        <v>Technology</v>
      </c>
      <c r="N3" s="559" t="str">
        <f>VLOOKUP("Brief Market Description what are you looking at?",Labels!$A$1:$C$1002,IF(LanguageSelection="FR",3,2),FALSE)</f>
        <v>Brief Market Description: 
what are you looking at?</v>
      </c>
      <c r="O3" s="560"/>
      <c r="P3" s="561"/>
      <c r="Q3" s="244"/>
      <c r="R3" s="557" t="str">
        <f>VLOOKUP("Country",Labels!$A$1:$C$3,IF(LanguageSelection="FR",3,2),FALSE)</f>
        <v>Country</v>
      </c>
      <c r="S3" s="558"/>
      <c r="T3" s="60" t="str">
        <f>VLOOKUP("Year",Labels!$A$1:$C$1001,IF(LanguageSelection="FR",3,2),FALSE)</f>
        <v>Year</v>
      </c>
      <c r="U3" s="62" t="str">
        <f>VLOOKUP("Technology",Labels!$A$1:$C$1001,IF(LanguageSelection="FR",3,2),FALSE)</f>
        <v>Technology</v>
      </c>
      <c r="V3" s="559" t="str">
        <f>VLOOKUP("Brief Market Description what are you looking at?",Labels!$A$1:$C$1002,IF(LanguageSelection="FR",3,2),FALSE)</f>
        <v>Brief Market Description: 
what are you looking at?</v>
      </c>
      <c r="W3" s="560"/>
      <c r="X3" s="561"/>
      <c r="Y3" s="244"/>
    </row>
    <row r="4" spans="1:25" ht="60" customHeight="1" thickTop="1" thickBot="1" x14ac:dyDescent="0.3">
      <c r="A4" s="246"/>
      <c r="B4" s="488">
        <f>Country</f>
        <v>0</v>
      </c>
      <c r="C4" s="583"/>
      <c r="D4" s="438">
        <f>Year</f>
        <v>2024</v>
      </c>
      <c r="E4" s="275" t="str">
        <f>Technology</f>
        <v>Other</v>
      </c>
      <c r="F4" s="584" t="str">
        <f>_xlfn.CONCAT(VLOOKUP("Demand side",Labels!$A$1:$C$1002,IF(LanguageSelection="FR",3,2),FALSE),": ",Demand_obs,CHAR(10),VLOOKUP("Supply Side",Labels!$A$1:$C$1002,IF(LanguageSelection="FR",3,2),FALSE),": ",Supply_obs,CHAR(10),VLOOKUP("Enabling environment",Labels!$A$1:$C$1002,IF(LanguageSelection="FR",3,2),FALSE),": ",EnEn_obs)</f>
        <v xml:space="preserve">Demand side: 
Supply Side: 
Enabling environment: </v>
      </c>
      <c r="G4" s="584"/>
      <c r="H4" s="585"/>
      <c r="I4" s="246"/>
      <c r="J4" s="575"/>
      <c r="K4" s="576"/>
      <c r="L4" s="240"/>
      <c r="M4" s="455"/>
      <c r="N4" s="572"/>
      <c r="O4" s="573"/>
      <c r="P4" s="574"/>
      <c r="Q4" s="458"/>
      <c r="R4" s="562"/>
      <c r="S4" s="562"/>
      <c r="T4" s="240"/>
      <c r="U4" s="276"/>
      <c r="V4" s="563"/>
      <c r="W4" s="563"/>
      <c r="X4" s="563"/>
      <c r="Y4" s="244"/>
    </row>
    <row r="5" spans="1:25" ht="15.75" customHeight="1" thickTop="1" thickBot="1" x14ac:dyDescent="0.3">
      <c r="A5" s="246"/>
      <c r="B5" s="247"/>
      <c r="C5" s="254"/>
      <c r="D5" s="244"/>
      <c r="E5" s="244"/>
      <c r="F5" s="244"/>
      <c r="G5" s="244"/>
      <c r="H5" s="244"/>
      <c r="I5" s="246"/>
      <c r="J5" s="247"/>
      <c r="K5" s="254"/>
      <c r="L5" s="244"/>
      <c r="M5" s="244"/>
      <c r="N5" s="244"/>
      <c r="O5" s="244"/>
      <c r="P5" s="244"/>
      <c r="Q5" s="244"/>
      <c r="R5" s="247"/>
      <c r="S5" s="254"/>
      <c r="T5" s="244"/>
      <c r="U5" s="244"/>
      <c r="V5" s="244"/>
      <c r="W5" s="244"/>
      <c r="X5" s="244"/>
      <c r="Y5" s="244"/>
    </row>
    <row r="6" spans="1:25" ht="27.75" thickTop="1" thickBot="1" x14ac:dyDescent="0.3">
      <c r="A6" s="246"/>
      <c r="B6" s="548" t="str">
        <f>VLOOKUP("Energy Market Scores",Labels!$A$1:$C$1001,IF(LanguageSelection="FR",3,2),FALSE)</f>
        <v>Energy Market Scores</v>
      </c>
      <c r="C6" s="549"/>
      <c r="D6" s="549"/>
      <c r="E6" s="549"/>
      <c r="F6" s="549"/>
      <c r="G6" s="549"/>
      <c r="H6" s="550"/>
      <c r="I6" s="244"/>
      <c r="J6" s="577" t="s">
        <v>115</v>
      </c>
      <c r="K6" s="578"/>
      <c r="L6" s="578"/>
      <c r="M6" s="578"/>
      <c r="N6" s="578"/>
      <c r="O6" s="578"/>
      <c r="P6" s="578"/>
      <c r="Q6" s="244"/>
      <c r="R6" s="548" t="str">
        <f>VLOOKUP("Energy Market Scores",Labels!$A$1:$C$1001,IF(LanguageSelection="FR",3,2),FALSE)</f>
        <v>Energy Market Scores</v>
      </c>
      <c r="S6" s="549"/>
      <c r="T6" s="549"/>
      <c r="U6" s="549"/>
      <c r="V6" s="549"/>
      <c r="W6" s="549"/>
      <c r="X6" s="550"/>
      <c r="Y6" s="244"/>
    </row>
    <row r="7" spans="1:25" s="38" customFormat="1" ht="48" customHeight="1" thickTop="1" thickBot="1" x14ac:dyDescent="0.3">
      <c r="A7" s="246"/>
      <c r="B7" s="546" t="str">
        <f>VLOOKUP("Indicator",Labels!$A$1:$C$1001,IF(LanguageSelection="FR",3,2),FALSE)</f>
        <v>Indicator</v>
      </c>
      <c r="C7" s="547"/>
      <c r="D7" s="59" t="str">
        <f>VLOOKUP("Variable",Labels!$A$1:$C$1001,IF(LanguageSelection="FR",3,2),FALSE)</f>
        <v>Variable</v>
      </c>
      <c r="E7" s="59" t="str">
        <f>VLOOKUP("Market Phase",Labels!$A$1:$C$1001,IF(LanguageSelection="FR",3,2),FALSE)</f>
        <v>Market Phase</v>
      </c>
      <c r="F7" s="59" t="str">
        <f>VLOOKUP("Trend",Labels!$A$1:$C$1001,IF(LanguageSelection="FR",3,2),FALSE)</f>
        <v>Trend</v>
      </c>
      <c r="G7" s="55" t="str">
        <f>VLOOKUP("Explanation",Labels!$A$1:$C$1001,IF(LanguageSelection="FR",3,2),FALSE)</f>
        <v>Explanation</v>
      </c>
      <c r="H7" s="59" t="str">
        <f>VLOOKUP("Data Source",Labels!$A$1:$C$1001,IF(LanguageSelection="FR",3,2),FALSE)</f>
        <v>Data Source</v>
      </c>
      <c r="I7" s="251"/>
      <c r="J7" s="546" t="s">
        <v>106</v>
      </c>
      <c r="K7" s="547"/>
      <c r="L7" s="59" t="s">
        <v>107</v>
      </c>
      <c r="M7" s="59" t="s">
        <v>116</v>
      </c>
      <c r="N7" s="59" t="s">
        <v>117</v>
      </c>
      <c r="O7" s="55" t="s">
        <v>118</v>
      </c>
      <c r="P7" s="59" t="s">
        <v>119</v>
      </c>
      <c r="Q7" s="251"/>
      <c r="R7" s="546" t="str">
        <f>VLOOKUP("Indicator",Labels!$A$1:$C$1001,IF(LanguageSelection="FR",3,2),FALSE)</f>
        <v>Indicator</v>
      </c>
      <c r="S7" s="547"/>
      <c r="T7" s="59" t="str">
        <f>VLOOKUP("Variable",Labels!$A$1:$C$1001,IF(LanguageSelection="FR",3,2),FALSE)</f>
        <v>Variable</v>
      </c>
      <c r="U7" s="277" t="str">
        <f>VLOOKUP("Market Phase",Labels!$A$1:$C$1001,IF(LanguageSelection="FR",3,2),FALSE)</f>
        <v>Market Phase</v>
      </c>
      <c r="V7" s="277" t="str">
        <f>VLOOKUP("Trend",Labels!$A$1:$C$1001,IF(LanguageSelection="FR",3,2),FALSE)</f>
        <v>Trend</v>
      </c>
      <c r="W7" s="55" t="str">
        <f>VLOOKUP("Explanation",Labels!$A$1:$C$1001,IF(LanguageSelection="FR",3,2),FALSE)</f>
        <v>Explanation</v>
      </c>
      <c r="X7" s="59" t="str">
        <f>VLOOKUP("Data Source",Labels!$A$1:$C$1001,IF(LanguageSelection="FR",3,2),FALSE)</f>
        <v>Data Source</v>
      </c>
      <c r="Y7" s="251"/>
    </row>
    <row r="8" spans="1:25" ht="30" customHeight="1" thickTop="1" thickBot="1" x14ac:dyDescent="0.3">
      <c r="A8" s="246"/>
      <c r="B8" s="564" t="str">
        <f>VLOOKUP("Supply Side",Labels!$A$1:$C$1002,IF(LanguageSelection="FR",3,2),FALSE)</f>
        <v>Supply Side</v>
      </c>
      <c r="C8" s="538" t="str">
        <f>VLOOKUP("s1",Labels!$A$1:$C$1001,IF(LanguageSelection="FR",3,2),FALSE)</f>
        <v>S1
Suppliers</v>
      </c>
      <c r="D8" s="39" t="str">
        <f>VLOOKUP("s1v1",Labels!$A$1:$C$1001,IF(LanguageSelection="FR",3,2),FALSE)</f>
        <v>Businesses</v>
      </c>
      <c r="E8" s="278">
        <f>'Supply side'!E7</f>
        <v>0</v>
      </c>
      <c r="F8" s="278">
        <f>'Supply side'!F7</f>
        <v>0</v>
      </c>
      <c r="G8" s="278" t="str">
        <f>IF(ISBLANK('Supply side'!G7),"",'Supply side'!G7)</f>
        <v/>
      </c>
      <c r="H8" s="279">
        <f>'Supply side'!H7</f>
        <v>0</v>
      </c>
      <c r="I8" s="244"/>
      <c r="J8" s="564" t="s">
        <v>120</v>
      </c>
      <c r="K8" s="538" t="s">
        <v>121</v>
      </c>
      <c r="L8" s="39" t="s">
        <v>122</v>
      </c>
      <c r="M8" s="454"/>
      <c r="N8" s="454"/>
      <c r="O8" s="459"/>
      <c r="P8" s="460"/>
      <c r="Q8" s="244"/>
      <c r="R8" s="564" t="s">
        <v>120</v>
      </c>
      <c r="S8" s="538" t="s">
        <v>121</v>
      </c>
      <c r="T8" s="39" t="s">
        <v>122</v>
      </c>
      <c r="U8" s="282"/>
      <c r="V8" s="282"/>
      <c r="W8" s="282"/>
      <c r="X8" s="282"/>
      <c r="Y8" s="244"/>
    </row>
    <row r="9" spans="1:25" ht="30" customHeight="1" thickTop="1" thickBot="1" x14ac:dyDescent="0.3">
      <c r="A9" s="246"/>
      <c r="B9" s="565"/>
      <c r="C9" s="539"/>
      <c r="D9" s="39" t="str">
        <f>VLOOKUP("s1v2",Labels!$A$1:$C$1001,IF(LanguageSelection="FR",3,2),FALSE)</f>
        <v>Business modalities</v>
      </c>
      <c r="E9" s="278">
        <f>'Supply side'!E8</f>
        <v>0</v>
      </c>
      <c r="F9" s="278">
        <f>'Supply side'!F8</f>
        <v>0</v>
      </c>
      <c r="G9" s="278" t="str">
        <f>IF(ISBLANK('Supply side'!G8),"",'Supply side'!G8)</f>
        <v/>
      </c>
      <c r="H9" s="279">
        <f>'Supply side'!H8</f>
        <v>0</v>
      </c>
      <c r="I9" s="244"/>
      <c r="J9" s="565"/>
      <c r="K9" s="539"/>
      <c r="L9" s="39" t="s">
        <v>123</v>
      </c>
      <c r="M9" s="454"/>
      <c r="N9" s="454"/>
      <c r="O9" s="460"/>
      <c r="P9" s="460"/>
      <c r="Q9" s="244"/>
      <c r="R9" s="565"/>
      <c r="S9" s="539"/>
      <c r="T9" s="39" t="s">
        <v>123</v>
      </c>
      <c r="U9" s="282"/>
      <c r="V9" s="282"/>
      <c r="W9" s="282"/>
      <c r="X9" s="282"/>
      <c r="Y9" s="244"/>
    </row>
    <row r="10" spans="1:25" ht="30" customHeight="1" thickTop="1" thickBot="1" x14ac:dyDescent="0.3">
      <c r="A10" s="246"/>
      <c r="B10" s="565"/>
      <c r="C10" s="539"/>
      <c r="D10" s="39" t="str">
        <f>VLOOKUP("s1v3",Labels!$A$1:$C$1001,IF(LanguageSelection="FR",3,2),FALSE)</f>
        <v>Formality</v>
      </c>
      <c r="E10" s="278">
        <f>'Supply side'!E9</f>
        <v>0</v>
      </c>
      <c r="F10" s="278">
        <f>'Supply side'!F9</f>
        <v>0</v>
      </c>
      <c r="G10" s="278" t="str">
        <f>IF(ISBLANK('Supply side'!G9),"",'Supply side'!G9)</f>
        <v/>
      </c>
      <c r="H10" s="279">
        <f>'Supply side'!H9</f>
        <v>0</v>
      </c>
      <c r="I10" s="244"/>
      <c r="J10" s="565"/>
      <c r="K10" s="539"/>
      <c r="L10" s="39" t="s">
        <v>124</v>
      </c>
      <c r="M10" s="454"/>
      <c r="N10" s="454"/>
      <c r="O10" s="459"/>
      <c r="P10" s="460"/>
      <c r="Q10" s="244"/>
      <c r="R10" s="565"/>
      <c r="S10" s="539"/>
      <c r="T10" s="39" t="s">
        <v>124</v>
      </c>
      <c r="U10" s="282"/>
      <c r="V10" s="282"/>
      <c r="W10" s="282"/>
      <c r="X10" s="282"/>
      <c r="Y10" s="244"/>
    </row>
    <row r="11" spans="1:25" ht="30" customHeight="1" thickTop="1" thickBot="1" x14ac:dyDescent="0.3">
      <c r="A11" s="246"/>
      <c r="B11" s="565"/>
      <c r="C11" s="545"/>
      <c r="D11" s="39" t="str">
        <f>VLOOKUP("s1v4",Labels!$A$1:$C$1001,IF(LanguageSelection="FR",3,2),FALSE)</f>
        <v>Jobs created</v>
      </c>
      <c r="E11" s="278">
        <f>'Supply side'!E10</f>
        <v>0</v>
      </c>
      <c r="F11" s="278">
        <f>'Supply side'!F10</f>
        <v>0</v>
      </c>
      <c r="G11" s="278" t="str">
        <f>IF(ISBLANK('Supply side'!G10),"",'Supply side'!G10)</f>
        <v/>
      </c>
      <c r="H11" s="279">
        <f>'Supply side'!H10</f>
        <v>0</v>
      </c>
      <c r="I11" s="244"/>
      <c r="J11" s="565"/>
      <c r="K11" s="545"/>
      <c r="L11" s="39" t="s">
        <v>125</v>
      </c>
      <c r="M11" s="454"/>
      <c r="N11" s="454"/>
      <c r="O11" s="460"/>
      <c r="P11" s="460"/>
      <c r="Q11" s="244"/>
      <c r="R11" s="565"/>
      <c r="S11" s="545"/>
      <c r="T11" s="39" t="s">
        <v>125</v>
      </c>
      <c r="U11" s="282"/>
      <c r="V11" s="282"/>
      <c r="W11" s="282"/>
      <c r="X11" s="282"/>
      <c r="Y11" s="244"/>
    </row>
    <row r="12" spans="1:25" ht="30" customHeight="1" thickTop="1" thickBot="1" x14ac:dyDescent="0.3">
      <c r="A12" s="246"/>
      <c r="B12" s="565"/>
      <c r="C12" s="538" t="str">
        <f>VLOOKUP("s2",Labels!$A$1:$C$1001,IF(LanguageSelection="FR",3,2),FALSE)</f>
        <v>S2
Sales Volume</v>
      </c>
      <c r="D12" s="48" t="str">
        <f>VLOOKUP("s2v1",Labels!$A$1:$C$1001,IF(LanguageSelection="FR",3,2),FALSE)</f>
        <v>Products / services sold</v>
      </c>
      <c r="E12" s="278">
        <f>'Supply side'!E11</f>
        <v>0</v>
      </c>
      <c r="F12" s="278">
        <f>'Supply side'!F11</f>
        <v>0</v>
      </c>
      <c r="G12" s="278" t="str">
        <f>IF(ISBLANK('Supply side'!G11),"",'Supply side'!G11)</f>
        <v/>
      </c>
      <c r="H12" s="279">
        <f>'Supply side'!H11</f>
        <v>0</v>
      </c>
      <c r="I12" s="244"/>
      <c r="J12" s="565"/>
      <c r="K12" s="538" t="s">
        <v>126</v>
      </c>
      <c r="L12" s="48" t="s">
        <v>127</v>
      </c>
      <c r="M12" s="454"/>
      <c r="N12" s="454"/>
      <c r="O12" s="460"/>
      <c r="P12" s="460"/>
      <c r="Q12" s="244"/>
      <c r="R12" s="565"/>
      <c r="S12" s="538" t="s">
        <v>126</v>
      </c>
      <c r="T12" s="48" t="s">
        <v>127</v>
      </c>
      <c r="U12" s="282"/>
      <c r="V12" s="282"/>
      <c r="W12" s="282"/>
      <c r="X12" s="282"/>
      <c r="Y12" s="244"/>
    </row>
    <row r="13" spans="1:25" s="56" customFormat="1" ht="30" customHeight="1" thickTop="1" thickBot="1" x14ac:dyDescent="0.3">
      <c r="A13" s="246"/>
      <c r="B13" s="565"/>
      <c r="C13" s="545"/>
      <c r="D13" s="48" t="str">
        <f>VLOOKUP("s2v2",Labels!$A$1:$C$1001,IF(LanguageSelection="FR",3,2),FALSE)</f>
        <v>Inventory turnover</v>
      </c>
      <c r="E13" s="278">
        <f>'Supply side'!E12</f>
        <v>0</v>
      </c>
      <c r="F13" s="278">
        <f>'Supply side'!F12</f>
        <v>0</v>
      </c>
      <c r="G13" s="278" t="str">
        <f>IF(ISBLANK('Supply side'!G12),"",'Supply side'!G12)</f>
        <v/>
      </c>
      <c r="H13" s="279">
        <f>'Supply side'!H12</f>
        <v>0</v>
      </c>
      <c r="I13" s="270"/>
      <c r="J13" s="565"/>
      <c r="K13" s="545"/>
      <c r="L13" s="48" t="s">
        <v>128</v>
      </c>
      <c r="M13" s="454"/>
      <c r="N13" s="454"/>
      <c r="O13" s="461"/>
      <c r="P13" s="460"/>
      <c r="Q13" s="270"/>
      <c r="R13" s="565"/>
      <c r="S13" s="545"/>
      <c r="T13" s="48" t="s">
        <v>128</v>
      </c>
      <c r="U13" s="282"/>
      <c r="V13" s="282"/>
      <c r="W13" s="282"/>
      <c r="X13" s="282"/>
      <c r="Y13" s="270"/>
    </row>
    <row r="14" spans="1:25" ht="1.1499999999999999" customHeight="1" thickTop="1" thickBot="1" x14ac:dyDescent="0.3">
      <c r="A14" s="246"/>
      <c r="B14" s="565"/>
      <c r="C14" s="538" t="str">
        <f>VLOOKUP("s3",Labels!$A$1:$C$1001,IF(LanguageSelection="FR",3,2),FALSE)</f>
        <v>S3
Prices, costs and profits</v>
      </c>
      <c r="D14" s="302" t="s">
        <v>760</v>
      </c>
      <c r="E14" s="278" t="e">
        <f>'Supply side'!#REF!</f>
        <v>#REF!</v>
      </c>
      <c r="F14" s="278" t="e">
        <f>'Supply side'!#REF!</f>
        <v>#REF!</v>
      </c>
      <c r="G14" s="278" t="e">
        <f>'Supply side'!#REF!</f>
        <v>#REF!</v>
      </c>
      <c r="H14" s="278" t="e">
        <f>'Supply side'!#REF!</f>
        <v>#REF!</v>
      </c>
      <c r="I14" s="244"/>
      <c r="J14" s="565"/>
      <c r="K14" s="538" t="s">
        <v>129</v>
      </c>
      <c r="L14" s="48" t="s">
        <v>130</v>
      </c>
      <c r="M14" s="454"/>
      <c r="N14" s="454"/>
      <c r="O14" s="460"/>
      <c r="P14" s="460"/>
      <c r="Q14" s="244"/>
      <c r="R14" s="565"/>
      <c r="S14" s="538" t="s">
        <v>129</v>
      </c>
      <c r="T14" s="48" t="s">
        <v>130</v>
      </c>
      <c r="U14" s="282"/>
      <c r="V14" s="282"/>
      <c r="W14" s="282"/>
      <c r="X14" s="282"/>
      <c r="Y14" s="244"/>
    </row>
    <row r="15" spans="1:25" ht="1.1499999999999999" customHeight="1" thickTop="1" thickBot="1" x14ac:dyDescent="0.3">
      <c r="A15" s="246"/>
      <c r="B15" s="565"/>
      <c r="C15" s="539"/>
      <c r="D15" s="302" t="s">
        <v>760</v>
      </c>
      <c r="E15" s="278" t="e">
        <f>'Supply side'!#REF!</f>
        <v>#REF!</v>
      </c>
      <c r="F15" s="278" t="e">
        <f>'Supply side'!#REF!</f>
        <v>#REF!</v>
      </c>
      <c r="G15" s="278" t="e">
        <f>'Supply side'!#REF!</f>
        <v>#REF!</v>
      </c>
      <c r="H15" s="278" t="e">
        <f>'Supply side'!#REF!</f>
        <v>#REF!</v>
      </c>
      <c r="I15" s="244"/>
      <c r="J15" s="565"/>
      <c r="K15" s="539"/>
      <c r="L15" s="48" t="s">
        <v>132</v>
      </c>
      <c r="M15" s="454"/>
      <c r="N15" s="454"/>
      <c r="O15" s="460"/>
      <c r="P15" s="460"/>
      <c r="Q15" s="244"/>
      <c r="R15" s="565"/>
      <c r="S15" s="539"/>
      <c r="T15" s="48" t="s">
        <v>132</v>
      </c>
      <c r="U15" s="282"/>
      <c r="V15" s="282"/>
      <c r="W15" s="282"/>
      <c r="X15" s="282"/>
      <c r="Y15" s="244"/>
    </row>
    <row r="16" spans="1:25" ht="1.1499999999999999" customHeight="1" thickTop="1" thickBot="1" x14ac:dyDescent="0.3">
      <c r="A16" s="246"/>
      <c r="B16" s="565"/>
      <c r="C16" s="539"/>
      <c r="D16" s="302" t="s">
        <v>760</v>
      </c>
      <c r="E16" s="278" t="e">
        <f>'Supply side'!#REF!</f>
        <v>#REF!</v>
      </c>
      <c r="F16" s="278" t="e">
        <f>'Supply side'!#REF!</f>
        <v>#REF!</v>
      </c>
      <c r="G16" s="278" t="e">
        <f>'Supply side'!#REF!</f>
        <v>#REF!</v>
      </c>
      <c r="H16" s="278" t="e">
        <f>'Supply side'!#REF!</f>
        <v>#REF!</v>
      </c>
      <c r="I16" s="244"/>
      <c r="J16" s="565"/>
      <c r="K16" s="539"/>
      <c r="L16" s="48" t="s">
        <v>133</v>
      </c>
      <c r="M16" s="454"/>
      <c r="N16" s="454"/>
      <c r="O16" s="459"/>
      <c r="P16" s="460"/>
      <c r="Q16" s="244"/>
      <c r="R16" s="565"/>
      <c r="S16" s="539"/>
      <c r="T16" s="48" t="s">
        <v>133</v>
      </c>
      <c r="U16" s="282"/>
      <c r="V16" s="282"/>
      <c r="W16" s="282"/>
      <c r="X16" s="282"/>
      <c r="Y16" s="244"/>
    </row>
    <row r="17" spans="1:25" ht="30" customHeight="1" thickTop="1" thickBot="1" x14ac:dyDescent="0.3">
      <c r="A17" s="246"/>
      <c r="B17" s="565"/>
      <c r="C17" s="545"/>
      <c r="D17" s="48" t="str">
        <f>VLOOKUP("s3v4",Labels!$A$1:$C$1001,IF(LanguageSelection="FR",3,2),FALSE)</f>
        <v>Profits and Investments</v>
      </c>
      <c r="E17" s="278">
        <f>'Supply side'!E13</f>
        <v>0</v>
      </c>
      <c r="F17" s="278">
        <f>'Supply side'!F13</f>
        <v>0</v>
      </c>
      <c r="G17" s="278" t="str">
        <f>IF(ISBLANK('Supply side'!G13),"",'Supply side'!G13)</f>
        <v/>
      </c>
      <c r="H17" s="279">
        <f>'Supply side'!H13</f>
        <v>0</v>
      </c>
      <c r="I17" s="244"/>
      <c r="J17" s="565"/>
      <c r="K17" s="545"/>
      <c r="L17" s="48" t="s">
        <v>134</v>
      </c>
      <c r="M17" s="454"/>
      <c r="N17" s="454"/>
      <c r="O17" s="459"/>
      <c r="P17" s="460"/>
      <c r="Q17" s="244"/>
      <c r="R17" s="565"/>
      <c r="S17" s="545"/>
      <c r="T17" s="48" t="s">
        <v>134</v>
      </c>
      <c r="U17" s="282"/>
      <c r="V17" s="282"/>
      <c r="W17" s="282"/>
      <c r="X17" s="282"/>
      <c r="Y17" s="244"/>
    </row>
    <row r="18" spans="1:25" ht="30" customHeight="1" thickTop="1" thickBot="1" x14ac:dyDescent="0.3">
      <c r="A18" s="246"/>
      <c r="B18" s="565"/>
      <c r="C18" s="538" t="str">
        <f>VLOOKUP("s4",Labels!$A$1:$C$1001,IF(LanguageSelection="FR",3,2),FALSE)</f>
        <v>S4
Supply chain development and after-sales service</v>
      </c>
      <c r="D18" s="39" t="str">
        <f>VLOOKUP("s4v1",Labels!$A$1:$C$1001,IF(LanguageSelection="FR",3,2),FALSE)</f>
        <v>Length of supply chain</v>
      </c>
      <c r="E18" s="278">
        <f>'Supply side'!E14</f>
        <v>0</v>
      </c>
      <c r="F18" s="278">
        <f>'Supply side'!F14</f>
        <v>0</v>
      </c>
      <c r="G18" s="278" t="str">
        <f>IF(ISBLANK('Supply side'!G14),"",'Supply side'!G14)</f>
        <v/>
      </c>
      <c r="H18" s="279">
        <f>'Supply side'!H14</f>
        <v>0</v>
      </c>
      <c r="I18" s="244"/>
      <c r="J18" s="565"/>
      <c r="K18" s="538" t="s">
        <v>135</v>
      </c>
      <c r="L18" s="39" t="s">
        <v>136</v>
      </c>
      <c r="M18" s="454"/>
      <c r="N18" s="454"/>
      <c r="O18" s="461"/>
      <c r="P18" s="460"/>
      <c r="Q18" s="244"/>
      <c r="R18" s="565"/>
      <c r="S18" s="538" t="s">
        <v>135</v>
      </c>
      <c r="T18" s="39" t="s">
        <v>136</v>
      </c>
      <c r="U18" s="282"/>
      <c r="V18" s="282"/>
      <c r="W18" s="282"/>
      <c r="X18" s="282"/>
      <c r="Y18" s="244"/>
    </row>
    <row r="19" spans="1:25" ht="30" customHeight="1" thickTop="1" thickBot="1" x14ac:dyDescent="0.3">
      <c r="A19" s="246"/>
      <c r="B19" s="565"/>
      <c r="C19" s="539"/>
      <c r="D19" s="48" t="str">
        <f>VLOOKUP("s4v2",Labels!$A$1:$C$1001,IF(LanguageSelection="FR",3,2),FALSE)</f>
        <v>Distribution channels</v>
      </c>
      <c r="E19" s="278">
        <f>'Supply side'!E15</f>
        <v>0</v>
      </c>
      <c r="F19" s="278">
        <f>'Supply side'!F15</f>
        <v>0</v>
      </c>
      <c r="G19" s="278" t="str">
        <f>IF(ISBLANK('Supply side'!G15),"",'Supply side'!G15)</f>
        <v/>
      </c>
      <c r="H19" s="279">
        <f>'Supply side'!H15</f>
        <v>0</v>
      </c>
      <c r="I19" s="244"/>
      <c r="J19" s="565"/>
      <c r="K19" s="539"/>
      <c r="L19" s="48" t="s">
        <v>137</v>
      </c>
      <c r="M19" s="454"/>
      <c r="N19" s="454"/>
      <c r="O19" s="459"/>
      <c r="P19" s="460"/>
      <c r="Q19" s="244"/>
      <c r="R19" s="565"/>
      <c r="S19" s="539"/>
      <c r="T19" s="48" t="s">
        <v>137</v>
      </c>
      <c r="U19" s="282"/>
      <c r="V19" s="282"/>
      <c r="W19" s="282"/>
      <c r="X19" s="282"/>
      <c r="Y19" s="244"/>
    </row>
    <row r="20" spans="1:25" ht="1.1499999999999999" customHeight="1" thickTop="1" thickBot="1" x14ac:dyDescent="0.3">
      <c r="A20" s="246"/>
      <c r="B20" s="565"/>
      <c r="C20" s="539"/>
      <c r="D20" s="302" t="s">
        <v>760</v>
      </c>
      <c r="E20" s="278" t="e">
        <f>'Supply side'!#REF!</f>
        <v>#REF!</v>
      </c>
      <c r="F20" s="278" t="e">
        <f>'Supply side'!#REF!</f>
        <v>#REF!</v>
      </c>
      <c r="G20" s="278" t="e">
        <f>IF(ISBLANK('Supply side'!#REF!),"",'Supply side'!#REF!)</f>
        <v>#REF!</v>
      </c>
      <c r="H20" s="279" t="e">
        <f>'Supply side'!#REF!</f>
        <v>#REF!</v>
      </c>
      <c r="I20" s="244"/>
      <c r="J20" s="565"/>
      <c r="K20" s="539"/>
      <c r="L20" s="39" t="s">
        <v>138</v>
      </c>
      <c r="M20" s="454"/>
      <c r="N20" s="454"/>
      <c r="O20" s="460"/>
      <c r="P20" s="460"/>
      <c r="Q20" s="244"/>
      <c r="R20" s="565"/>
      <c r="S20" s="539"/>
      <c r="T20" s="39" t="s">
        <v>138</v>
      </c>
      <c r="U20" s="282"/>
      <c r="V20" s="282"/>
      <c r="W20" s="282"/>
      <c r="X20" s="282"/>
      <c r="Y20" s="244"/>
    </row>
    <row r="21" spans="1:25" ht="30" customHeight="1" thickTop="1" thickBot="1" x14ac:dyDescent="0.3">
      <c r="A21" s="246"/>
      <c r="B21" s="565"/>
      <c r="C21" s="539"/>
      <c r="D21" s="39" t="str">
        <f>VLOOKUP("s4v4",Labels!$A$1:$C$1001,IF(LanguageSelection="FR",3,2),FALSE)</f>
        <v>Initial suppliers</v>
      </c>
      <c r="E21" s="278">
        <f>'Supply side'!E16</f>
        <v>0</v>
      </c>
      <c r="F21" s="278">
        <f>'Supply side'!F16</f>
        <v>0</v>
      </c>
      <c r="G21" s="278" t="str">
        <f>IF(ISBLANK('Supply side'!G16),"",'Supply side'!G16)</f>
        <v/>
      </c>
      <c r="H21" s="279">
        <f>'Supply side'!H16</f>
        <v>0</v>
      </c>
      <c r="I21" s="244"/>
      <c r="J21" s="565"/>
      <c r="K21" s="539"/>
      <c r="L21" s="39" t="str">
        <f>D21</f>
        <v>Initial suppliers</v>
      </c>
      <c r="M21" s="454"/>
      <c r="N21" s="454"/>
      <c r="O21" s="460"/>
      <c r="P21" s="460"/>
      <c r="Q21" s="244"/>
      <c r="R21" s="565"/>
      <c r="S21" s="539"/>
      <c r="T21" s="39" t="s">
        <v>139</v>
      </c>
      <c r="U21" s="282"/>
      <c r="V21" s="282"/>
      <c r="W21" s="282"/>
      <c r="X21" s="282"/>
      <c r="Y21" s="244"/>
    </row>
    <row r="22" spans="1:25" s="58" customFormat="1" ht="30" customHeight="1" thickTop="1" thickBot="1" x14ac:dyDescent="0.3">
      <c r="A22" s="246"/>
      <c r="B22" s="565"/>
      <c r="C22" s="545"/>
      <c r="D22" s="57" t="str">
        <f>VLOOKUP("s4v5",Labels!$A$1:$C$1001,IF(LanguageSelection="FR",3,2),FALSE)</f>
        <v>After-sales service providers</v>
      </c>
      <c r="E22" s="278">
        <f>'Supply side'!E17</f>
        <v>0</v>
      </c>
      <c r="F22" s="278">
        <f>'Supply side'!F17</f>
        <v>0</v>
      </c>
      <c r="G22" s="278" t="str">
        <f>IF(ISBLANK('Supply side'!G17),"",'Supply side'!G17)</f>
        <v/>
      </c>
      <c r="H22" s="279">
        <f>'Supply side'!H17</f>
        <v>0</v>
      </c>
      <c r="I22" s="271"/>
      <c r="J22" s="565"/>
      <c r="K22" s="545"/>
      <c r="L22" s="57" t="s">
        <v>140</v>
      </c>
      <c r="M22" s="454"/>
      <c r="N22" s="454"/>
      <c r="O22" s="459"/>
      <c r="P22" s="460"/>
      <c r="Q22" s="271"/>
      <c r="R22" s="565"/>
      <c r="S22" s="545"/>
      <c r="T22" s="57" t="s">
        <v>140</v>
      </c>
      <c r="U22" s="282"/>
      <c r="V22" s="282"/>
      <c r="W22" s="282"/>
      <c r="X22" s="282"/>
      <c r="Y22" s="271"/>
    </row>
    <row r="23" spans="1:25" ht="1.1499999999999999" customHeight="1" thickTop="1" thickBot="1" x14ac:dyDescent="0.3">
      <c r="A23" s="246"/>
      <c r="B23" s="565"/>
      <c r="C23" s="302" t="s">
        <v>760</v>
      </c>
      <c r="D23" s="302" t="s">
        <v>760</v>
      </c>
      <c r="E23" s="278" t="e">
        <f>'Supply side'!#REF!</f>
        <v>#REF!</v>
      </c>
      <c r="F23" s="278" t="e">
        <f>'Supply side'!#REF!</f>
        <v>#REF!</v>
      </c>
      <c r="G23" s="278" t="e">
        <f>IF(ISBLANK('Supply side'!#REF!),"",'Supply side'!#REF!)</f>
        <v>#REF!</v>
      </c>
      <c r="H23" s="279" t="e">
        <f>'Supply side'!#REF!</f>
        <v>#REF!</v>
      </c>
      <c r="I23" s="244"/>
      <c r="J23" s="565"/>
      <c r="K23" s="49" t="s">
        <v>141</v>
      </c>
      <c r="L23" s="39" t="s">
        <v>142</v>
      </c>
      <c r="M23" s="454"/>
      <c r="N23" s="454"/>
      <c r="O23" s="461"/>
      <c r="P23" s="460"/>
      <c r="Q23" s="244"/>
      <c r="R23" s="565"/>
      <c r="S23" s="49" t="s">
        <v>141</v>
      </c>
      <c r="T23" s="39" t="s">
        <v>142</v>
      </c>
      <c r="U23" s="282"/>
      <c r="V23" s="282"/>
      <c r="W23" s="282"/>
      <c r="X23" s="282"/>
      <c r="Y23" s="244"/>
    </row>
    <row r="24" spans="1:25" ht="1.1499999999999999" customHeight="1" thickTop="1" thickBot="1" x14ac:dyDescent="0.3">
      <c r="A24" s="246"/>
      <c r="B24" s="565"/>
      <c r="C24" s="586" t="s">
        <v>760</v>
      </c>
      <c r="D24" s="302" t="s">
        <v>760</v>
      </c>
      <c r="E24" s="278" t="e">
        <f>'Supply side'!#REF!</f>
        <v>#REF!</v>
      </c>
      <c r="F24" s="278" t="e">
        <f>'Supply side'!#REF!</f>
        <v>#REF!</v>
      </c>
      <c r="G24" s="278" t="e">
        <f>IF(ISBLANK('Supply side'!#REF!),"",'Supply side'!#REF!)</f>
        <v>#REF!</v>
      </c>
      <c r="H24" s="279" t="e">
        <f>'Supply side'!#REF!</f>
        <v>#REF!</v>
      </c>
      <c r="I24" s="244"/>
      <c r="J24" s="565"/>
      <c r="K24" s="538" t="s">
        <v>143</v>
      </c>
      <c r="L24" s="48" t="s">
        <v>144</v>
      </c>
      <c r="M24" s="454"/>
      <c r="N24" s="454"/>
      <c r="O24" s="459"/>
      <c r="P24" s="460"/>
      <c r="Q24" s="244"/>
      <c r="R24" s="565"/>
      <c r="S24" s="538" t="s">
        <v>143</v>
      </c>
      <c r="T24" s="48" t="s">
        <v>144</v>
      </c>
      <c r="U24" s="282"/>
      <c r="V24" s="282"/>
      <c r="W24" s="282"/>
      <c r="X24" s="282"/>
      <c r="Y24" s="244"/>
    </row>
    <row r="25" spans="1:25" ht="1.1499999999999999" customHeight="1" thickTop="1" thickBot="1" x14ac:dyDescent="0.3">
      <c r="A25" s="246"/>
      <c r="B25" s="565"/>
      <c r="C25" s="587"/>
      <c r="D25" s="302" t="s">
        <v>760</v>
      </c>
      <c r="E25" s="278" t="e">
        <f>'Supply side'!#REF!</f>
        <v>#REF!</v>
      </c>
      <c r="F25" s="278" t="e">
        <f>'Supply side'!#REF!</f>
        <v>#REF!</v>
      </c>
      <c r="G25" s="278" t="e">
        <f>IF(ISBLANK('Supply side'!#REF!),"",'Supply side'!#REF!)</f>
        <v>#REF!</v>
      </c>
      <c r="H25" s="279" t="e">
        <f>'Supply side'!#REF!</f>
        <v>#REF!</v>
      </c>
      <c r="I25" s="244"/>
      <c r="J25" s="565"/>
      <c r="K25" s="545"/>
      <c r="L25" s="48" t="s">
        <v>145</v>
      </c>
      <c r="M25" s="454"/>
      <c r="N25" s="462"/>
      <c r="O25" s="459"/>
      <c r="P25" s="460"/>
      <c r="Q25" s="244"/>
      <c r="R25" s="565"/>
      <c r="S25" s="545"/>
      <c r="T25" s="48" t="s">
        <v>145</v>
      </c>
      <c r="U25" s="282"/>
      <c r="V25" s="282"/>
      <c r="W25" s="282"/>
      <c r="X25" s="282"/>
      <c r="Y25" s="244"/>
    </row>
    <row r="26" spans="1:25" ht="30" customHeight="1" thickTop="1" thickBot="1" x14ac:dyDescent="0.3">
      <c r="A26" s="246"/>
      <c r="B26" s="565"/>
      <c r="C26" s="49" t="str">
        <f>VLOOKUP("s7",Labels!$A$1:$C$1001,IF(LanguageSelection="FR",3,2),FALSE)</f>
        <v>S5
Warranties</v>
      </c>
      <c r="D26" s="48" t="str">
        <f>VLOOKUP("s7v1",Labels!$A$1:$C$1001,IF(LanguageSelection="FR",3,2),FALSE)</f>
        <v>Warranties</v>
      </c>
      <c r="E26" s="278">
        <f>'Supply side'!E18</f>
        <v>0</v>
      </c>
      <c r="F26" s="278">
        <f>'Supply side'!F18</f>
        <v>0</v>
      </c>
      <c r="G26" s="278" t="str">
        <f>IF(ISBLANK('Supply side'!G18),"",'Supply side'!G18)</f>
        <v/>
      </c>
      <c r="H26" s="279">
        <f>'Supply side'!H18</f>
        <v>0</v>
      </c>
      <c r="I26" s="244"/>
      <c r="J26" s="565"/>
      <c r="K26" s="49" t="s">
        <v>146</v>
      </c>
      <c r="L26" s="48" t="s">
        <v>76</v>
      </c>
      <c r="M26" s="454"/>
      <c r="N26" s="454"/>
      <c r="O26" s="459"/>
      <c r="P26" s="460"/>
      <c r="Q26" s="244"/>
      <c r="R26" s="565"/>
      <c r="S26" s="49" t="s">
        <v>146</v>
      </c>
      <c r="T26" s="48" t="s">
        <v>76</v>
      </c>
      <c r="U26" s="282"/>
      <c r="V26" s="282"/>
      <c r="W26" s="282"/>
      <c r="X26" s="282"/>
      <c r="Y26" s="244"/>
    </row>
    <row r="27" spans="1:25" ht="30" customHeight="1" thickTop="1" thickBot="1" x14ac:dyDescent="0.3">
      <c r="A27" s="246"/>
      <c r="B27" s="565"/>
      <c r="C27" s="551" t="str">
        <f>VLOOKUP("s8",Labels!$A$1:$C$1001,IF(LanguageSelection="FR",3,2),FALSE)</f>
        <v>S6
Entrepreneurial skills</v>
      </c>
      <c r="D27" s="48" t="str">
        <f>VLOOKUP("s8v1",Labels!$A$1:$C$1001,IF(LanguageSelection="FR",3,2),FALSE)</f>
        <v>Business skills</v>
      </c>
      <c r="E27" s="278">
        <f>'Supply side'!E19</f>
        <v>0</v>
      </c>
      <c r="F27" s="278">
        <f>'Supply side'!F19</f>
        <v>0</v>
      </c>
      <c r="G27" s="278" t="str">
        <f>IF(ISBLANK('Supply side'!G19),"",'Supply side'!G19)</f>
        <v/>
      </c>
      <c r="H27" s="279">
        <f>'Supply side'!H19</f>
        <v>0</v>
      </c>
      <c r="I27" s="244"/>
      <c r="J27" s="565"/>
      <c r="K27" s="551" t="s">
        <v>147</v>
      </c>
      <c r="L27" s="48" t="s">
        <v>148</v>
      </c>
      <c r="M27" s="454"/>
      <c r="N27" s="454"/>
      <c r="O27" s="459"/>
      <c r="P27" s="460"/>
      <c r="Q27" s="244"/>
      <c r="R27" s="565"/>
      <c r="S27" s="551" t="s">
        <v>147</v>
      </c>
      <c r="T27" s="48" t="s">
        <v>148</v>
      </c>
      <c r="U27" s="282"/>
      <c r="V27" s="282"/>
      <c r="W27" s="282"/>
      <c r="X27" s="282"/>
      <c r="Y27" s="244"/>
    </row>
    <row r="28" spans="1:25" ht="1.1499999999999999" customHeight="1" thickTop="1" thickBot="1" x14ac:dyDescent="0.3">
      <c r="A28" s="246"/>
      <c r="B28" s="565"/>
      <c r="C28" s="552"/>
      <c r="D28" s="302" t="s">
        <v>760</v>
      </c>
      <c r="E28" s="278" t="e">
        <f>'Supply side'!#REF!</f>
        <v>#REF!</v>
      </c>
      <c r="F28" s="278" t="e">
        <f>'Supply side'!#REF!</f>
        <v>#REF!</v>
      </c>
      <c r="G28" s="278" t="e">
        <f>IF(ISBLANK('Supply side'!#REF!),"",'Supply side'!#REF!)</f>
        <v>#REF!</v>
      </c>
      <c r="H28" s="279" t="e">
        <f>'Supply side'!#REF!</f>
        <v>#REF!</v>
      </c>
      <c r="I28" s="244"/>
      <c r="J28" s="565"/>
      <c r="K28" s="552"/>
      <c r="L28" s="48" t="s">
        <v>149</v>
      </c>
      <c r="M28" s="454"/>
      <c r="N28" s="454"/>
      <c r="O28" s="459"/>
      <c r="P28" s="460"/>
      <c r="Q28" s="244"/>
      <c r="R28" s="565"/>
      <c r="S28" s="552"/>
      <c r="T28" s="48" t="s">
        <v>149</v>
      </c>
      <c r="U28" s="282"/>
      <c r="V28" s="282"/>
      <c r="W28" s="282"/>
      <c r="X28" s="282"/>
      <c r="Y28" s="244"/>
    </row>
    <row r="29" spans="1:25" ht="30" customHeight="1" thickTop="1" thickBot="1" x14ac:dyDescent="0.3">
      <c r="A29" s="246"/>
      <c r="B29" s="565"/>
      <c r="C29" s="552"/>
      <c r="D29" s="39" t="str">
        <f>VLOOKUP("s8v3",Labels!$A$1:$C$1001,IF(LanguageSelection="FR",3,2),FALSE)</f>
        <v>Marketing skills</v>
      </c>
      <c r="E29" s="278">
        <f>'Supply side'!E20</f>
        <v>0</v>
      </c>
      <c r="F29" s="278">
        <f>'Supply side'!F20</f>
        <v>0</v>
      </c>
      <c r="G29" s="278" t="str">
        <f>IF(ISBLANK('Supply side'!G20),"",'Supply side'!G20)</f>
        <v/>
      </c>
      <c r="H29" s="279">
        <f>'Supply side'!H20</f>
        <v>0</v>
      </c>
      <c r="I29" s="244"/>
      <c r="J29" s="565"/>
      <c r="K29" s="552"/>
      <c r="L29" s="39" t="s">
        <v>150</v>
      </c>
      <c r="M29" s="454"/>
      <c r="N29" s="454"/>
      <c r="O29" s="459"/>
      <c r="P29" s="460"/>
      <c r="Q29" s="244"/>
      <c r="R29" s="565"/>
      <c r="S29" s="552"/>
      <c r="T29" s="39" t="s">
        <v>150</v>
      </c>
      <c r="U29" s="282"/>
      <c r="V29" s="282"/>
      <c r="W29" s="282"/>
      <c r="X29" s="282"/>
      <c r="Y29" s="244"/>
    </row>
    <row r="30" spans="1:25" ht="1.1499999999999999" customHeight="1" thickTop="1" thickBot="1" x14ac:dyDescent="0.3">
      <c r="A30" s="246"/>
      <c r="B30" s="565"/>
      <c r="C30" s="552"/>
      <c r="D30" s="302" t="s">
        <v>760</v>
      </c>
      <c r="E30" s="278" t="e">
        <f>'Supply side'!#REF!</f>
        <v>#REF!</v>
      </c>
      <c r="F30" s="278" t="e">
        <f>'Supply side'!#REF!</f>
        <v>#REF!</v>
      </c>
      <c r="G30" s="278" t="e">
        <f>IF(ISBLANK('Supply side'!#REF!),"",'Supply side'!#REF!)</f>
        <v>#REF!</v>
      </c>
      <c r="H30" s="279" t="e">
        <f>'Supply side'!#REF!</f>
        <v>#REF!</v>
      </c>
      <c r="I30" s="244"/>
      <c r="J30" s="565"/>
      <c r="K30" s="552"/>
      <c r="L30" s="39" t="s">
        <v>151</v>
      </c>
      <c r="M30" s="454"/>
      <c r="N30" s="454"/>
      <c r="O30" s="459"/>
      <c r="P30" s="460"/>
      <c r="Q30" s="244"/>
      <c r="R30" s="565"/>
      <c r="S30" s="552"/>
      <c r="T30" s="39" t="s">
        <v>151</v>
      </c>
      <c r="U30" s="282"/>
      <c r="V30" s="282"/>
      <c r="W30" s="282"/>
      <c r="X30" s="282"/>
      <c r="Y30" s="244"/>
    </row>
    <row r="31" spans="1:25" ht="42" customHeight="1" thickTop="1" thickBot="1" x14ac:dyDescent="0.3">
      <c r="A31" s="246"/>
      <c r="B31" s="565"/>
      <c r="C31" s="552"/>
      <c r="D31" s="48" t="str">
        <f>VLOOKUP("s8v5",Labels!$A$1:$C$1001,IF(LanguageSelection="FR",3,2),FALSE)</f>
        <v>Production skills</v>
      </c>
      <c r="E31" s="278">
        <f>'Supply side'!E21</f>
        <v>0</v>
      </c>
      <c r="F31" s="278">
        <f>'Supply side'!F21</f>
        <v>0</v>
      </c>
      <c r="G31" s="278" t="str">
        <f>IF(ISBLANK('Supply side'!G21),"",'Supply side'!G21)</f>
        <v/>
      </c>
      <c r="H31" s="279">
        <f>'Supply side'!H21</f>
        <v>0</v>
      </c>
      <c r="I31" s="244"/>
      <c r="J31" s="565"/>
      <c r="K31" s="552"/>
      <c r="L31" s="48" t="s">
        <v>152</v>
      </c>
      <c r="M31" s="454"/>
      <c r="N31" s="454"/>
      <c r="O31" s="461"/>
      <c r="P31" s="460"/>
      <c r="Q31" s="244"/>
      <c r="R31" s="565"/>
      <c r="S31" s="552"/>
      <c r="T31" s="48" t="s">
        <v>152</v>
      </c>
      <c r="U31" s="282"/>
      <c r="V31" s="282"/>
      <c r="W31" s="282"/>
      <c r="X31" s="282"/>
      <c r="Y31" s="244"/>
    </row>
    <row r="32" spans="1:25" ht="1.1499999999999999" customHeight="1" thickTop="1" thickBot="1" x14ac:dyDescent="0.3">
      <c r="A32" s="246"/>
      <c r="B32" s="566"/>
      <c r="C32" s="553"/>
      <c r="D32" s="302" t="s">
        <v>760</v>
      </c>
      <c r="E32" s="280">
        <f>'Supply side'!E22</f>
        <v>0</v>
      </c>
      <c r="F32" s="280">
        <f>'Supply side'!F22</f>
        <v>0</v>
      </c>
      <c r="G32" s="278" t="str">
        <f>IF(ISBLANK('Supply side'!G22),"",'Supply side'!G22)</f>
        <v/>
      </c>
      <c r="H32" s="281">
        <f>'Supply side'!H22</f>
        <v>0</v>
      </c>
      <c r="I32" s="244"/>
      <c r="J32" s="566"/>
      <c r="K32" s="553"/>
      <c r="L32" s="48" t="s">
        <v>153</v>
      </c>
      <c r="M32" s="33"/>
      <c r="N32" s="33"/>
      <c r="O32" s="311"/>
      <c r="P32" s="312"/>
      <c r="Q32" s="244"/>
      <c r="R32" s="566"/>
      <c r="S32" s="553"/>
      <c r="T32" s="48" t="s">
        <v>153</v>
      </c>
      <c r="U32" s="282"/>
      <c r="V32" s="282"/>
      <c r="W32" s="282"/>
      <c r="X32" s="282"/>
      <c r="Y32" s="244"/>
    </row>
    <row r="33" spans="1:25" ht="16.5" thickTop="1" thickBot="1" x14ac:dyDescent="0.3">
      <c r="A33" s="246"/>
      <c r="B33" s="256"/>
      <c r="C33" s="274"/>
      <c r="D33" s="273"/>
      <c r="E33" s="273"/>
      <c r="F33" s="273"/>
      <c r="G33" s="292"/>
      <c r="H33" s="244"/>
      <c r="I33" s="244"/>
      <c r="J33" s="321"/>
      <c r="K33" s="322"/>
      <c r="L33" s="323"/>
      <c r="M33" s="323"/>
      <c r="N33" s="323"/>
      <c r="Q33" s="244"/>
      <c r="R33" s="256"/>
      <c r="S33" s="274"/>
      <c r="T33" s="273"/>
      <c r="U33" s="273"/>
      <c r="V33" s="273"/>
      <c r="W33" s="244"/>
      <c r="X33" s="244"/>
      <c r="Y33" s="244"/>
    </row>
    <row r="34" spans="1:25" ht="30" customHeight="1" thickTop="1" thickBot="1" x14ac:dyDescent="0.3">
      <c r="A34" s="246"/>
      <c r="B34" s="548" t="str">
        <f>VLOOKUP("Energy Market Scores",Labels!$A$1:$C$1001,IF(LanguageSelection="FR",3,2),FALSE)</f>
        <v>Energy Market Scores</v>
      </c>
      <c r="C34" s="549"/>
      <c r="D34" s="549"/>
      <c r="E34" s="549"/>
      <c r="F34" s="549"/>
      <c r="G34" s="549"/>
      <c r="H34" s="550"/>
      <c r="I34" s="244"/>
      <c r="J34" s="324" t="s">
        <v>115</v>
      </c>
      <c r="K34" s="325"/>
      <c r="L34" s="325"/>
      <c r="M34" s="325"/>
      <c r="N34" s="325"/>
      <c r="O34" s="325"/>
      <c r="P34" s="325"/>
      <c r="Q34" s="244"/>
      <c r="R34" s="548" t="str">
        <f>VLOOKUP("Energy Market Scores",Labels!$A$1:$C$1001,IF(LanguageSelection="FR",3,2),FALSE)</f>
        <v>Energy Market Scores</v>
      </c>
      <c r="S34" s="549"/>
      <c r="T34" s="549"/>
      <c r="U34" s="549"/>
      <c r="V34" s="549"/>
      <c r="W34" s="549"/>
      <c r="X34" s="550"/>
      <c r="Y34" s="244"/>
    </row>
    <row r="35" spans="1:25" ht="0.95" customHeight="1" thickTop="1" thickBot="1" x14ac:dyDescent="0.3">
      <c r="A35" s="246"/>
      <c r="B35" s="318"/>
      <c r="C35" s="319"/>
      <c r="D35" s="319"/>
      <c r="E35" s="319"/>
      <c r="F35" s="319"/>
      <c r="G35" s="328"/>
      <c r="H35" s="320"/>
      <c r="I35" s="244"/>
      <c r="J35" s="326"/>
      <c r="K35" s="326"/>
      <c r="L35" s="327"/>
      <c r="M35" s="327"/>
      <c r="N35" s="327"/>
      <c r="Q35" s="244"/>
      <c r="R35" s="318"/>
      <c r="S35" s="319"/>
      <c r="T35" s="319"/>
      <c r="U35" s="328"/>
      <c r="V35" s="328"/>
      <c r="W35" s="328"/>
      <c r="X35" s="320"/>
      <c r="Y35" s="244"/>
    </row>
    <row r="36" spans="1:25" s="38" customFormat="1" ht="50.45" customHeight="1" thickTop="1" thickBot="1" x14ac:dyDescent="0.3">
      <c r="A36" s="246"/>
      <c r="B36" s="546" t="str">
        <f>VLOOKUP("Indicator",Labels!$A$1:$C$1001,IF(LanguageSelection="FR",3,2),FALSE)</f>
        <v>Indicator</v>
      </c>
      <c r="C36" s="547"/>
      <c r="D36" s="59" t="str">
        <f>VLOOKUP("Variable",Labels!$A$1:$C$1001,IF(LanguageSelection="FR",3,2),FALSE)</f>
        <v>Variable</v>
      </c>
      <c r="E36" s="59" t="str">
        <f>VLOOKUP("Market Phase",Labels!$A$1:$C$1001,IF(LanguageSelection="FR",3,2),FALSE)</f>
        <v>Market Phase</v>
      </c>
      <c r="F36" s="59" t="str">
        <f>VLOOKUP("Trend",Labels!$A$1:$C$1001,IF(LanguageSelection="FR",3,2),FALSE)</f>
        <v>Trend</v>
      </c>
      <c r="G36" s="55" t="str">
        <f>VLOOKUP("Explanation",Labels!$A$1:$C$1001,IF(LanguageSelection="FR",3,2),FALSE)</f>
        <v>Explanation</v>
      </c>
      <c r="H36" s="59" t="str">
        <f>VLOOKUP("Data Source",Labels!$A$1:$C$1001,IF(LanguageSelection="FR",3,2),FALSE)</f>
        <v>Data Source</v>
      </c>
      <c r="I36" s="251"/>
      <c r="J36" s="567" t="s">
        <v>106</v>
      </c>
      <c r="K36" s="568"/>
      <c r="L36" s="50" t="s">
        <v>107</v>
      </c>
      <c r="M36" s="50"/>
      <c r="N36" s="59"/>
      <c r="O36" s="59"/>
      <c r="P36" s="55"/>
      <c r="Q36" s="251"/>
      <c r="R36" s="546" t="str">
        <f>VLOOKUP("Indicator",Labels!$A$1:$C$1001,IF(LanguageSelection="FR",3,2),FALSE)</f>
        <v>Indicator</v>
      </c>
      <c r="S36" s="547"/>
      <c r="T36" s="59" t="str">
        <f>VLOOKUP("Variable",Labels!$A$1:$C$1001,IF(LanguageSelection="FR",3,2),FALSE)</f>
        <v>Variable</v>
      </c>
      <c r="U36" s="277" t="str">
        <f>VLOOKUP("Market Phase",Labels!$A$1:$C$1001,IF(LanguageSelection="FR",3,2),FALSE)</f>
        <v>Market Phase</v>
      </c>
      <c r="V36" s="277" t="str">
        <f>VLOOKUP("Trend",Labels!$A$1:$C$1001,IF(LanguageSelection="FR",3,2),FALSE)</f>
        <v>Trend</v>
      </c>
      <c r="W36" s="55" t="str">
        <f>VLOOKUP("Explanation",Labels!$A$1:$C$1001,IF(LanguageSelection="FR",3,2),FALSE)</f>
        <v>Explanation</v>
      </c>
      <c r="X36" s="59" t="str">
        <f>VLOOKUP("Data Source",Labels!$A$1:$C$1001,IF(LanguageSelection="FR",3,2),FALSE)</f>
        <v>Data Source</v>
      </c>
      <c r="Y36" s="251"/>
    </row>
    <row r="37" spans="1:25" ht="47.45" customHeight="1" thickTop="1" thickBot="1" x14ac:dyDescent="0.3">
      <c r="A37" s="246"/>
      <c r="B37" s="589" t="str">
        <f>VLOOKUP("Demand side",Labels!$A$1:$C$1002,IF(LanguageSelection="FR",3,2),FALSE)</f>
        <v>Demand side</v>
      </c>
      <c r="C37" s="49" t="str">
        <f>VLOOKUP("d1",Labels!$A$1:$C$1001,IF(LanguageSelection="FR",3,2),FALSE)</f>
        <v>D1
Product and service diversity</v>
      </c>
      <c r="D37" s="48" t="str">
        <f>VLOOKUP("d1v1",Labels!$A$1:$C$1001,IF(LanguageSelection="FR",3,2),FALSE)</f>
        <v>Diversity</v>
      </c>
      <c r="E37" s="278">
        <f>'Demand side'!E7</f>
        <v>0</v>
      </c>
      <c r="F37" s="278">
        <f>'Demand side'!F7</f>
        <v>0</v>
      </c>
      <c r="G37" s="278" t="str">
        <f>IF(ISBLANK('Demand side'!G7),"",'Demand side'!G7)</f>
        <v/>
      </c>
      <c r="H37" s="296">
        <f>'Demand side'!H7</f>
        <v>0</v>
      </c>
      <c r="I37" s="244"/>
      <c r="J37" s="542" t="s">
        <v>154</v>
      </c>
      <c r="K37" s="49" t="s">
        <v>155</v>
      </c>
      <c r="L37" s="48" t="s">
        <v>156</v>
      </c>
      <c r="M37" s="463"/>
      <c r="N37" s="454"/>
      <c r="O37" s="459"/>
      <c r="P37" s="460"/>
      <c r="Q37" s="244"/>
      <c r="R37" s="542" t="s">
        <v>154</v>
      </c>
      <c r="S37" s="49" t="s">
        <v>155</v>
      </c>
      <c r="T37" s="48" t="s">
        <v>156</v>
      </c>
      <c r="U37" s="282"/>
      <c r="V37" s="282"/>
      <c r="W37" s="282"/>
      <c r="X37" s="282"/>
      <c r="Y37" s="244"/>
    </row>
    <row r="38" spans="1:25" ht="30" customHeight="1" thickTop="1" thickBot="1" x14ac:dyDescent="0.3">
      <c r="A38" s="246"/>
      <c r="B38" s="590"/>
      <c r="C38" s="49" t="str">
        <f>VLOOKUP("d2",Labels!$A$1:$C$1001,IF(LanguageSelection="FR",3,2),FALSE)</f>
        <v>D2
Market penetration</v>
      </c>
      <c r="D38" s="48" t="str">
        <f>VLOOKUP("d2v1",Labels!$A$1:$C$1001,IF(LanguageSelection="FR",3,2),FALSE)</f>
        <v>Market share / Technology adopters</v>
      </c>
      <c r="E38" s="278">
        <f>'Demand side'!E8</f>
        <v>0</v>
      </c>
      <c r="F38" s="278">
        <f>'Demand side'!F8</f>
        <v>0</v>
      </c>
      <c r="G38" s="278" t="str">
        <f>IF(ISBLANK('Demand side'!G8),"",'Demand side'!G8)</f>
        <v/>
      </c>
      <c r="H38" s="296">
        <f>'Demand side'!H8</f>
        <v>0</v>
      </c>
      <c r="I38" s="244"/>
      <c r="J38" s="543"/>
      <c r="K38" s="49" t="s">
        <v>157</v>
      </c>
      <c r="L38" s="48" t="s">
        <v>158</v>
      </c>
      <c r="M38" s="463"/>
      <c r="N38" s="454"/>
      <c r="O38" s="460"/>
      <c r="P38" s="460"/>
      <c r="Q38" s="244"/>
      <c r="R38" s="543"/>
      <c r="S38" s="49" t="s">
        <v>157</v>
      </c>
      <c r="T38" s="48" t="s">
        <v>158</v>
      </c>
      <c r="U38" s="282"/>
      <c r="V38" s="282"/>
      <c r="W38" s="282"/>
      <c r="X38" s="282"/>
      <c r="Y38" s="244"/>
    </row>
    <row r="39" spans="1:25" ht="30" customHeight="1" thickTop="1" thickBot="1" x14ac:dyDescent="0.3">
      <c r="A39" s="246"/>
      <c r="B39" s="590"/>
      <c r="C39" s="49" t="str">
        <f>VLOOKUP("d3",Labels!$A$1:$C$1001,IF(LanguageSelection="FR",3,2),FALSE)</f>
        <v>D3
Willingness to pay</v>
      </c>
      <c r="D39" s="48" t="str">
        <f>VLOOKUP("d3v1",Labels!$A$1:$C$1001,IF(LanguageSelection="FR",3,2),FALSE)</f>
        <v xml:space="preserve">Willingness to pay </v>
      </c>
      <c r="E39" s="278">
        <f>'Demand side'!E9</f>
        <v>0</v>
      </c>
      <c r="F39" s="278">
        <f>'Demand side'!F9</f>
        <v>0</v>
      </c>
      <c r="G39" s="278" t="str">
        <f>IF(ISBLANK('Demand side'!G9),"",'Demand side'!G9)</f>
        <v/>
      </c>
      <c r="H39" s="296">
        <f>'Demand side'!H9</f>
        <v>0</v>
      </c>
      <c r="I39" s="244"/>
      <c r="J39" s="543"/>
      <c r="K39" s="49" t="s">
        <v>159</v>
      </c>
      <c r="L39" s="48" t="s">
        <v>160</v>
      </c>
      <c r="M39" s="463"/>
      <c r="N39" s="454"/>
      <c r="O39" s="460"/>
      <c r="P39" s="460"/>
      <c r="Q39" s="244"/>
      <c r="R39" s="543"/>
      <c r="S39" s="49" t="s">
        <v>159</v>
      </c>
      <c r="T39" s="48" t="s">
        <v>160</v>
      </c>
      <c r="U39" s="282"/>
      <c r="V39" s="282"/>
      <c r="W39" s="282"/>
      <c r="X39" s="282"/>
      <c r="Y39" s="244"/>
    </row>
    <row r="40" spans="1:25" ht="30" customHeight="1" thickTop="1" thickBot="1" x14ac:dyDescent="0.3">
      <c r="A40" s="246"/>
      <c r="B40" s="590"/>
      <c r="C40" s="538" t="str">
        <f>VLOOKUP("d4",Labels!$A$1:$C$1001,IF(LanguageSelection="FR",3,2),FALSE)</f>
        <v>D4
Systems in use</v>
      </c>
      <c r="D40" s="48" t="str">
        <f>VLOOKUP("d4v1",Labels!$A$1:$C$1001,IF(LanguageSelection="FR",3,2),FALSE)</f>
        <v>Usage rate</v>
      </c>
      <c r="E40" s="278">
        <f>'Demand side'!E10</f>
        <v>0</v>
      </c>
      <c r="F40" s="278">
        <f>'Demand side'!F10</f>
        <v>0</v>
      </c>
      <c r="G40" s="278" t="str">
        <f>IF(ISBLANK('Demand side'!G10),"",'Demand side'!G10)</f>
        <v/>
      </c>
      <c r="H40" s="296">
        <f>'Demand side'!H10</f>
        <v>0</v>
      </c>
      <c r="I40" s="244"/>
      <c r="J40" s="543"/>
      <c r="K40" s="538" t="s">
        <v>161</v>
      </c>
      <c r="L40" s="48" t="s">
        <v>162</v>
      </c>
      <c r="M40" s="463"/>
      <c r="N40" s="454"/>
      <c r="O40" s="460"/>
      <c r="P40" s="460"/>
      <c r="Q40" s="244"/>
      <c r="R40" s="543"/>
      <c r="S40" s="538" t="s">
        <v>161</v>
      </c>
      <c r="T40" s="48" t="s">
        <v>162</v>
      </c>
      <c r="U40" s="282"/>
      <c r="V40" s="282"/>
      <c r="W40" s="282"/>
      <c r="X40" s="282"/>
      <c r="Y40" s="244"/>
    </row>
    <row r="41" spans="1:25" ht="1.1499999999999999" customHeight="1" thickTop="1" thickBot="1" x14ac:dyDescent="0.3">
      <c r="A41" s="246"/>
      <c r="B41" s="590"/>
      <c r="C41" s="545"/>
      <c r="D41" s="302" t="s">
        <v>760</v>
      </c>
      <c r="E41" s="278" t="e">
        <f>'Demand side'!#REF!</f>
        <v>#REF!</v>
      </c>
      <c r="F41" s="278" t="e">
        <f>'Demand side'!#REF!</f>
        <v>#REF!</v>
      </c>
      <c r="G41" s="278" t="e">
        <f>IF(ISBLANK('Demand side'!#REF!),"",'Demand side'!#REF!)</f>
        <v>#REF!</v>
      </c>
      <c r="H41" s="296" t="e">
        <f>'Demand side'!#REF!</f>
        <v>#REF!</v>
      </c>
      <c r="I41" s="244"/>
      <c r="J41" s="543"/>
      <c r="K41" s="545"/>
      <c r="L41" s="48" t="s">
        <v>163</v>
      </c>
      <c r="M41" s="463"/>
      <c r="N41" s="454"/>
      <c r="O41" s="460"/>
      <c r="P41" s="460"/>
      <c r="Q41" s="244"/>
      <c r="R41" s="543"/>
      <c r="S41" s="545"/>
      <c r="T41" s="48" t="s">
        <v>163</v>
      </c>
      <c r="U41" s="282"/>
      <c r="V41" s="282"/>
      <c r="W41" s="282"/>
      <c r="X41" s="282"/>
      <c r="Y41" s="244"/>
    </row>
    <row r="42" spans="1:25" ht="30" customHeight="1" thickTop="1" thickBot="1" x14ac:dyDescent="0.3">
      <c r="A42" s="246"/>
      <c r="B42" s="590"/>
      <c r="C42" s="538" t="str">
        <f>VLOOKUP("d5",Labels!$A$1:$C$1001,IF(LanguageSelection="FR",3,2),FALSE)</f>
        <v>D5
Replacement and repair</v>
      </c>
      <c r="D42" s="48" t="str">
        <f>VLOOKUP("d5v1",Labels!$A$1:$C$1001,IF(LanguageSelection="FR",3,2),FALSE)</f>
        <v>Replacement rate</v>
      </c>
      <c r="E42" s="278">
        <f>'Demand side'!E11</f>
        <v>0</v>
      </c>
      <c r="F42" s="278">
        <f>'Demand side'!F11</f>
        <v>0</v>
      </c>
      <c r="G42" s="278" t="str">
        <f>IF(ISBLANK('Demand side'!G11),"",'Demand side'!G11)</f>
        <v/>
      </c>
      <c r="H42" s="296">
        <f>'Demand side'!H11</f>
        <v>0</v>
      </c>
      <c r="I42" s="244"/>
      <c r="J42" s="543"/>
      <c r="K42" s="538" t="s">
        <v>164</v>
      </c>
      <c r="L42" s="48" t="s">
        <v>165</v>
      </c>
      <c r="M42" s="463"/>
      <c r="N42" s="454"/>
      <c r="O42" s="461"/>
      <c r="P42" s="460"/>
      <c r="Q42" s="244"/>
      <c r="R42" s="543"/>
      <c r="S42" s="538" t="s">
        <v>164</v>
      </c>
      <c r="T42" s="48" t="s">
        <v>165</v>
      </c>
      <c r="U42" s="282"/>
      <c r="V42" s="282"/>
      <c r="W42" s="282"/>
      <c r="X42" s="282"/>
      <c r="Y42" s="244"/>
    </row>
    <row r="43" spans="1:25" ht="1.1499999999999999" customHeight="1" thickTop="1" thickBot="1" x14ac:dyDescent="0.3">
      <c r="A43" s="246"/>
      <c r="B43" s="590"/>
      <c r="C43" s="545"/>
      <c r="D43" s="302" t="s">
        <v>760</v>
      </c>
      <c r="E43" s="278" t="e">
        <f>'Demand side'!#REF!</f>
        <v>#REF!</v>
      </c>
      <c r="F43" s="278" t="e">
        <f>'Demand side'!#REF!</f>
        <v>#REF!</v>
      </c>
      <c r="G43" s="278" t="e">
        <f>IF(ISBLANK('Demand side'!#REF!),"",'Demand side'!#REF!)</f>
        <v>#REF!</v>
      </c>
      <c r="H43" s="296" t="e">
        <f>'Demand side'!#REF!</f>
        <v>#REF!</v>
      </c>
      <c r="I43" s="244"/>
      <c r="J43" s="543"/>
      <c r="K43" s="545"/>
      <c r="L43" s="48" t="s">
        <v>166</v>
      </c>
      <c r="M43" s="454"/>
      <c r="N43" s="454"/>
      <c r="O43" s="460"/>
      <c r="P43" s="460"/>
      <c r="Q43" s="244"/>
      <c r="R43" s="543"/>
      <c r="S43" s="545"/>
      <c r="T43" s="48" t="s">
        <v>166</v>
      </c>
      <c r="U43" s="282"/>
      <c r="V43" s="282"/>
      <c r="W43" s="282"/>
      <c r="X43" s="282"/>
      <c r="Y43" s="244"/>
    </row>
    <row r="44" spans="1:25" ht="30" customHeight="1" thickTop="1" thickBot="1" x14ac:dyDescent="0.3">
      <c r="A44" s="246"/>
      <c r="B44" s="590"/>
      <c r="C44" s="538" t="str">
        <f>VLOOKUP("d6",Labels!$A$1:$C$1001,IF(LanguageSelection="FR",3,2),FALSE)</f>
        <v>D6
Consumer awareness and perception</v>
      </c>
      <c r="D44" s="48" t="str">
        <f>VLOOKUP("d6v1",Labels!$A$1:$C$1001,IF(LanguageSelection="FR",3,2),FALSE)</f>
        <v>Awareness</v>
      </c>
      <c r="E44" s="278">
        <f>'Demand side'!E12</f>
        <v>0</v>
      </c>
      <c r="F44" s="278">
        <f>'Demand side'!F12</f>
        <v>0</v>
      </c>
      <c r="G44" s="278" t="str">
        <f>IF(ISBLANK('Demand side'!G12),"",'Demand side'!G12)</f>
        <v/>
      </c>
      <c r="H44" s="296">
        <f>'Demand side'!H12</f>
        <v>0</v>
      </c>
      <c r="I44" s="244"/>
      <c r="J44" s="543"/>
      <c r="K44" s="538" t="s">
        <v>167</v>
      </c>
      <c r="L44" s="48" t="s">
        <v>168</v>
      </c>
      <c r="M44" s="463"/>
      <c r="N44" s="454"/>
      <c r="O44" s="460"/>
      <c r="P44" s="460"/>
      <c r="Q44" s="244"/>
      <c r="R44" s="543"/>
      <c r="S44" s="538" t="s">
        <v>167</v>
      </c>
      <c r="T44" s="48" t="s">
        <v>168</v>
      </c>
      <c r="U44" s="282"/>
      <c r="V44" s="282"/>
      <c r="W44" s="282"/>
      <c r="X44" s="282"/>
      <c r="Y44" s="244"/>
    </row>
    <row r="45" spans="1:25" ht="30" customHeight="1" thickTop="1" thickBot="1" x14ac:dyDescent="0.3">
      <c r="A45" s="246"/>
      <c r="B45" s="591"/>
      <c r="C45" s="588"/>
      <c r="D45" s="300" t="str">
        <f>VLOOKUP("d6v2",Labels!$A$1:$C$1001,IF(LanguageSelection="FR",3,2),FALSE)</f>
        <v>Perception</v>
      </c>
      <c r="E45" s="298">
        <f>'Demand side'!E13</f>
        <v>0</v>
      </c>
      <c r="F45" s="298">
        <f>'Demand side'!F13</f>
        <v>0</v>
      </c>
      <c r="G45" s="298" t="str">
        <f>IF(ISBLANK('Demand side'!G13),"",'Demand side'!G13)</f>
        <v/>
      </c>
      <c r="H45" s="299">
        <f>'Demand side'!H13</f>
        <v>0</v>
      </c>
      <c r="I45" s="244"/>
      <c r="J45" s="543"/>
      <c r="K45" s="539"/>
      <c r="L45" s="425" t="s">
        <v>169</v>
      </c>
      <c r="M45" s="464"/>
      <c r="N45" s="465"/>
      <c r="O45" s="466"/>
      <c r="P45" s="466"/>
      <c r="Q45" s="244"/>
      <c r="R45" s="544"/>
      <c r="S45" s="545"/>
      <c r="T45" s="48" t="s">
        <v>169</v>
      </c>
      <c r="U45" s="282"/>
      <c r="V45" s="282"/>
      <c r="W45" s="282"/>
      <c r="X45" s="282"/>
      <c r="Y45" s="244"/>
    </row>
    <row r="46" spans="1:25" ht="14.25" customHeight="1" thickBot="1" x14ac:dyDescent="0.3">
      <c r="A46" s="246"/>
      <c r="B46" s="256"/>
      <c r="C46" s="272"/>
      <c r="D46" s="273"/>
      <c r="E46" s="273"/>
      <c r="F46" s="273"/>
      <c r="G46" s="244"/>
      <c r="H46" s="244"/>
      <c r="I46" s="244"/>
      <c r="J46" s="256"/>
      <c r="K46" s="272"/>
      <c r="L46" s="273"/>
      <c r="M46" s="273"/>
      <c r="N46" s="273"/>
      <c r="O46" s="244"/>
      <c r="P46" s="244"/>
      <c r="Q46" s="244"/>
      <c r="R46" s="256"/>
      <c r="S46" s="272"/>
      <c r="T46" s="273"/>
      <c r="U46" s="273"/>
      <c r="V46" s="273"/>
      <c r="W46" s="244"/>
      <c r="X46" s="244"/>
      <c r="Y46" s="244"/>
    </row>
    <row r="47" spans="1:25" s="38" customFormat="1" ht="45.6" customHeight="1" thickTop="1" thickBot="1" x14ac:dyDescent="0.3">
      <c r="A47" s="246"/>
      <c r="B47" s="546" t="str">
        <f>VLOOKUP("Indicator",Labels!$A$1:$C$1001,IF(LanguageSelection="FR",3,2),FALSE)</f>
        <v>Indicator</v>
      </c>
      <c r="C47" s="547"/>
      <c r="D47" s="59" t="str">
        <f>VLOOKUP("Variable",Labels!$A$1:$C$1001,IF(LanguageSelection="FR",3,2),FALSE)</f>
        <v>Variable</v>
      </c>
      <c r="E47" s="59" t="str">
        <f>VLOOKUP("Market Phase",Labels!$A$1:$C$1001,IF(LanguageSelection="FR",3,2),FALSE)</f>
        <v>Market Phase</v>
      </c>
      <c r="F47" s="59" t="str">
        <f>VLOOKUP("Trend",Labels!$A$1:$C$1001,IF(LanguageSelection="FR",3,2),FALSE)</f>
        <v>Trend</v>
      </c>
      <c r="G47" s="55" t="str">
        <f>VLOOKUP("Explanation",Labels!$A$1:$C$1001,IF(LanguageSelection="FR",3,2),FALSE)</f>
        <v>Explanation</v>
      </c>
      <c r="H47" s="59" t="str">
        <f>VLOOKUP("Data Source",Labels!$A$1:$C$1001,IF(LanguageSelection="FR",3,2),FALSE)</f>
        <v>Data Source</v>
      </c>
      <c r="I47" s="251"/>
      <c r="J47" s="540" t="s">
        <v>106</v>
      </c>
      <c r="K47" s="541"/>
      <c r="L47" s="426" t="s">
        <v>107</v>
      </c>
      <c r="M47" s="426"/>
      <c r="N47" s="427"/>
      <c r="O47" s="427"/>
      <c r="P47" s="428"/>
      <c r="Q47" s="251"/>
      <c r="R47" s="546" t="str">
        <f>VLOOKUP("Indicator",Labels!$A$1:$C$1001,IF(LanguageSelection="FR",3,2),FALSE)</f>
        <v>Indicator</v>
      </c>
      <c r="S47" s="547"/>
      <c r="T47" s="59" t="str">
        <f>VLOOKUP("Variable",Labels!$A$1:$C$1001,IF(LanguageSelection="FR",3,2),FALSE)</f>
        <v>Variable</v>
      </c>
      <c r="U47" s="277" t="str">
        <f>VLOOKUP("Market Phase",Labels!$A$1:$C$1001,IF(LanguageSelection="FR",3,2),FALSE)</f>
        <v>Market Phase</v>
      </c>
      <c r="V47" s="277" t="str">
        <f>VLOOKUP("Trend",Labels!$A$1:$C$1001,IF(LanguageSelection="FR",3,2),FALSE)</f>
        <v>Trend</v>
      </c>
      <c r="W47" s="55" t="str">
        <f>VLOOKUP("Explanation",Labels!$A$1:$C$1001,IF(LanguageSelection="FR",3,2),FALSE)</f>
        <v>Explanation</v>
      </c>
      <c r="X47" s="59" t="str">
        <f>VLOOKUP("Data Source",Labels!$A$1:$C$1001,IF(LanguageSelection="FR",3,2),FALSE)</f>
        <v>Data Source</v>
      </c>
      <c r="Y47" s="251"/>
    </row>
    <row r="48" spans="1:25" ht="30" customHeight="1" thickTop="1" thickBot="1" x14ac:dyDescent="0.3">
      <c r="A48" s="246"/>
      <c r="B48" s="589" t="str">
        <f>VLOOKUP("Enabling environment",Labels!$A$1:$C$1002,IF(LanguageSelection="FR",3,2),FALSE)</f>
        <v>Enabling environment</v>
      </c>
      <c r="C48" s="538" t="str">
        <f>VLOOKUP("e1",Labels!$A$1:$C$1001,IF(LanguageSelection="FR",3,2),FALSE)</f>
        <v>E1
Policy</v>
      </c>
      <c r="D48" s="48" t="str">
        <f>VLOOKUP("e1v1",Labels!$A$1:$C$1001,IF(LanguageSelection="FR",3,2),FALSE)</f>
        <v>National plans</v>
      </c>
      <c r="E48" s="278">
        <f>'Enabling environment'!E7</f>
        <v>0</v>
      </c>
      <c r="F48" s="278">
        <f>'Enabling environment'!F7</f>
        <v>0</v>
      </c>
      <c r="G48" s="278" t="str">
        <f>IF(ISBLANK('Enabling environment'!G7),"",'Enabling environment'!G7)</f>
        <v/>
      </c>
      <c r="H48" s="296">
        <f>'Enabling environment'!H7</f>
        <v>0</v>
      </c>
      <c r="I48" s="244"/>
      <c r="J48" s="542" t="s">
        <v>170</v>
      </c>
      <c r="K48" s="538" t="s">
        <v>171</v>
      </c>
      <c r="L48" s="48" t="s">
        <v>172</v>
      </c>
      <c r="M48" s="463"/>
      <c r="N48" s="454"/>
      <c r="O48" s="460"/>
      <c r="P48" s="460"/>
      <c r="Q48" s="244"/>
      <c r="R48" s="542" t="s">
        <v>170</v>
      </c>
      <c r="S48" s="538" t="s">
        <v>171</v>
      </c>
      <c r="T48" s="48" t="s">
        <v>172</v>
      </c>
      <c r="U48" s="282"/>
      <c r="V48" s="282"/>
      <c r="W48" s="282"/>
      <c r="X48" s="282"/>
      <c r="Y48" s="244"/>
    </row>
    <row r="49" spans="1:25" ht="30" customHeight="1" thickTop="1" thickBot="1" x14ac:dyDescent="0.3">
      <c r="A49" s="246"/>
      <c r="B49" s="590"/>
      <c r="C49" s="539"/>
      <c r="D49" s="48" t="str">
        <f>VLOOKUP("e1v2",Labels!$A$1:$C$1001,IF(LanguageSelection="FR",3,2),FALSE)</f>
        <v>Policy</v>
      </c>
      <c r="E49" s="278">
        <f>'Enabling environment'!E8</f>
        <v>0</v>
      </c>
      <c r="F49" s="278">
        <f>'Enabling environment'!F8</f>
        <v>0</v>
      </c>
      <c r="G49" s="278" t="str">
        <f>IF(ISBLANK('Enabling environment'!G8),"",'Enabling environment'!G8)</f>
        <v/>
      </c>
      <c r="H49" s="296">
        <f>'Enabling environment'!H8</f>
        <v>0</v>
      </c>
      <c r="I49" s="244"/>
      <c r="J49" s="543"/>
      <c r="K49" s="539"/>
      <c r="L49" s="48" t="s">
        <v>94</v>
      </c>
      <c r="M49" s="463"/>
      <c r="N49" s="454"/>
      <c r="O49" s="460"/>
      <c r="P49" s="460"/>
      <c r="Q49" s="244"/>
      <c r="R49" s="543"/>
      <c r="S49" s="539"/>
      <c r="T49" s="48" t="s">
        <v>94</v>
      </c>
      <c r="U49" s="282"/>
      <c r="V49" s="282"/>
      <c r="W49" s="282"/>
      <c r="X49" s="282"/>
      <c r="Y49" s="244"/>
    </row>
    <row r="50" spans="1:25" ht="30" customHeight="1" thickTop="1" thickBot="1" x14ac:dyDescent="0.3">
      <c r="A50" s="246"/>
      <c r="B50" s="590"/>
      <c r="C50" s="539"/>
      <c r="D50" s="48" t="str">
        <f>VLOOKUP("e1v3",Labels!$A$1:$C$1001,IF(LanguageSelection="FR",3,2),FALSE)</f>
        <v>Product taxes</v>
      </c>
      <c r="E50" s="278">
        <f>'Enabling environment'!E9</f>
        <v>0</v>
      </c>
      <c r="F50" s="278">
        <f>'Enabling environment'!F9</f>
        <v>0</v>
      </c>
      <c r="G50" s="278" t="str">
        <f>IF(ISBLANK('Enabling environment'!G9),"",'Enabling environment'!G9)</f>
        <v/>
      </c>
      <c r="H50" s="296">
        <f>'Enabling environment'!H9</f>
        <v>0</v>
      </c>
      <c r="I50" s="244"/>
      <c r="J50" s="543"/>
      <c r="K50" s="539"/>
      <c r="L50" s="48" t="s">
        <v>173</v>
      </c>
      <c r="M50" s="463"/>
      <c r="N50" s="454"/>
      <c r="O50" s="460"/>
      <c r="P50" s="460"/>
      <c r="Q50" s="244"/>
      <c r="R50" s="543"/>
      <c r="S50" s="539"/>
      <c r="T50" s="48" t="s">
        <v>173</v>
      </c>
      <c r="U50" s="282"/>
      <c r="V50" s="282"/>
      <c r="W50" s="282"/>
      <c r="X50" s="282"/>
      <c r="Y50" s="244"/>
    </row>
    <row r="51" spans="1:25" ht="1.1499999999999999" customHeight="1" thickTop="1" thickBot="1" x14ac:dyDescent="0.3">
      <c r="A51" s="246"/>
      <c r="B51" s="590"/>
      <c r="C51" s="545"/>
      <c r="D51" s="302" t="s">
        <v>760</v>
      </c>
      <c r="E51" s="278" t="e">
        <f>'Enabling environment'!#REF!</f>
        <v>#REF!</v>
      </c>
      <c r="F51" s="278" t="e">
        <f>'Enabling environment'!#REF!</f>
        <v>#REF!</v>
      </c>
      <c r="G51" s="278" t="e">
        <f>IF(ISBLANK('Enabling environment'!#REF!),"",'Enabling environment'!#REF!)</f>
        <v>#REF!</v>
      </c>
      <c r="H51" s="296" t="e">
        <f>'Enabling environment'!#REF!</f>
        <v>#REF!</v>
      </c>
      <c r="I51" s="244"/>
      <c r="J51" s="543"/>
      <c r="K51" s="545"/>
      <c r="L51" s="48" t="s">
        <v>174</v>
      </c>
      <c r="M51" s="463"/>
      <c r="N51" s="454"/>
      <c r="O51" s="460"/>
      <c r="P51" s="460"/>
      <c r="Q51" s="244"/>
      <c r="R51" s="543"/>
      <c r="S51" s="545"/>
      <c r="T51" s="48" t="s">
        <v>174</v>
      </c>
      <c r="U51" s="282"/>
      <c r="V51" s="282"/>
      <c r="W51" s="282"/>
      <c r="X51" s="282"/>
      <c r="Y51" s="244"/>
    </row>
    <row r="52" spans="1:25" ht="30" customHeight="1" thickTop="1" thickBot="1" x14ac:dyDescent="0.3">
      <c r="A52" s="246"/>
      <c r="B52" s="590"/>
      <c r="C52" s="538" t="str">
        <f>VLOOKUP("e2",Labels!$A$1:$C$1001,IF(LanguageSelection="FR",3,2),FALSE)</f>
        <v>E2
Access to finance</v>
      </c>
      <c r="D52" s="48" t="str">
        <f>VLOOKUP("e2v1",Labels!$A$1:$C$1001,IF(LanguageSelection="FR",3,2),FALSE)</f>
        <v>Subsidies</v>
      </c>
      <c r="E52" s="278">
        <f>'Enabling environment'!E10</f>
        <v>0</v>
      </c>
      <c r="F52" s="278">
        <f>'Enabling environment'!F10</f>
        <v>0</v>
      </c>
      <c r="G52" s="278" t="str">
        <f>IF(ISBLANK('Enabling environment'!G10),"",'Enabling environment'!G10)</f>
        <v/>
      </c>
      <c r="H52" s="296">
        <f>'Enabling environment'!H10</f>
        <v>0</v>
      </c>
      <c r="I52" s="244"/>
      <c r="J52" s="543"/>
      <c r="K52" s="538" t="s">
        <v>175</v>
      </c>
      <c r="L52" s="48" t="s">
        <v>176</v>
      </c>
      <c r="M52" s="463"/>
      <c r="N52" s="454"/>
      <c r="O52" s="459"/>
      <c r="P52" s="460"/>
      <c r="Q52" s="244"/>
      <c r="R52" s="543"/>
      <c r="S52" s="538" t="s">
        <v>175</v>
      </c>
      <c r="T52" s="48" t="s">
        <v>176</v>
      </c>
      <c r="U52" s="282"/>
      <c r="V52" s="282"/>
      <c r="W52" s="282"/>
      <c r="X52" s="282"/>
      <c r="Y52" s="244"/>
    </row>
    <row r="53" spans="1:25" ht="48.6" customHeight="1" thickTop="1" thickBot="1" x14ac:dyDescent="0.3">
      <c r="A53" s="246"/>
      <c r="B53" s="590"/>
      <c r="C53" s="539"/>
      <c r="D53" s="48" t="str">
        <f>VLOOKUP("e2v2",Labels!$A$1:$C$1001,IF(LanguageSelection="FR",3,2),FALSE)</f>
        <v>Financing options and investments by suppliers</v>
      </c>
      <c r="E53" s="278">
        <f>'Enabling environment'!E11</f>
        <v>0</v>
      </c>
      <c r="F53" s="278">
        <f>'Enabling environment'!F11</f>
        <v>0</v>
      </c>
      <c r="G53" s="278" t="str">
        <f>IF(ISBLANK('Enabling environment'!G11),"",'Enabling environment'!G11)</f>
        <v/>
      </c>
      <c r="H53" s="296">
        <f>'Enabling environment'!H11</f>
        <v>0</v>
      </c>
      <c r="I53" s="244"/>
      <c r="J53" s="543"/>
      <c r="K53" s="539"/>
      <c r="L53" s="48" t="s">
        <v>177</v>
      </c>
      <c r="M53" s="463"/>
      <c r="N53" s="454"/>
      <c r="O53" s="460"/>
      <c r="P53" s="460"/>
      <c r="Q53" s="244"/>
      <c r="R53" s="543"/>
      <c r="S53" s="539"/>
      <c r="T53" s="48" t="s">
        <v>177</v>
      </c>
      <c r="U53" s="282"/>
      <c r="V53" s="282"/>
      <c r="W53" s="282"/>
      <c r="X53" s="282"/>
      <c r="Y53" s="244"/>
    </row>
    <row r="54" spans="1:25" ht="33" customHeight="1" thickTop="1" thickBot="1" x14ac:dyDescent="0.3">
      <c r="A54" s="246"/>
      <c r="B54" s="590"/>
      <c r="C54" s="545"/>
      <c r="D54" s="48" t="str">
        <f>VLOOKUP("e2v3",Labels!$A$1:$C$1001,IF(LanguageSelection="FR",3,2),FALSE)</f>
        <v>Financing options for consumers</v>
      </c>
      <c r="E54" s="278">
        <f>'Enabling environment'!E12</f>
        <v>0</v>
      </c>
      <c r="F54" s="278">
        <f>'Enabling environment'!F12</f>
        <v>0</v>
      </c>
      <c r="G54" s="278" t="str">
        <f>IF(ISBLANK('Enabling environment'!G12),"",'Enabling environment'!G12)</f>
        <v/>
      </c>
      <c r="H54" s="296">
        <f>'Enabling environment'!H12</f>
        <v>0</v>
      </c>
      <c r="I54" s="244"/>
      <c r="J54" s="543"/>
      <c r="K54" s="545"/>
      <c r="L54" s="48" t="s">
        <v>178</v>
      </c>
      <c r="M54" s="463"/>
      <c r="N54" s="454"/>
      <c r="O54" s="460"/>
      <c r="P54" s="460"/>
      <c r="Q54" s="244"/>
      <c r="R54" s="543"/>
      <c r="S54" s="545"/>
      <c r="T54" s="48" t="s">
        <v>178</v>
      </c>
      <c r="U54" s="282"/>
      <c r="V54" s="282"/>
      <c r="W54" s="282"/>
      <c r="X54" s="282"/>
      <c r="Y54" s="244"/>
    </row>
    <row r="55" spans="1:25" ht="32.450000000000003" customHeight="1" thickTop="1" thickBot="1" x14ac:dyDescent="0.3">
      <c r="A55" s="246"/>
      <c r="B55" s="590"/>
      <c r="C55" s="538" t="str">
        <f>VLOOKUP("e3",Labels!$A$1:$C$1001,IF(LanguageSelection="FR",3,2),FALSE)</f>
        <v>E3
Quality regulations, norms and standards</v>
      </c>
      <c r="D55" s="48" t="str">
        <f>VLOOKUP("e3v1",Labels!$A$1:$C$1001,IF(LanguageSelection="FR",3,2),FALSE)</f>
        <v>Regulation, Norms and standards</v>
      </c>
      <c r="E55" s="278">
        <f>'Enabling environment'!E13</f>
        <v>0</v>
      </c>
      <c r="F55" s="278">
        <f>'Enabling environment'!F13</f>
        <v>0</v>
      </c>
      <c r="G55" s="278" t="str">
        <f>IF(ISBLANK('Enabling environment'!G13),"",'Enabling environment'!G13)</f>
        <v/>
      </c>
      <c r="H55" s="296">
        <f>'Enabling environment'!H13</f>
        <v>0</v>
      </c>
      <c r="I55" s="244"/>
      <c r="J55" s="543"/>
      <c r="K55" s="538" t="s">
        <v>179</v>
      </c>
      <c r="L55" s="48" t="s">
        <v>180</v>
      </c>
      <c r="M55" s="463"/>
      <c r="N55" s="454"/>
      <c r="O55" s="460"/>
      <c r="P55" s="460"/>
      <c r="Q55" s="244"/>
      <c r="R55" s="543"/>
      <c r="S55" s="538" t="s">
        <v>179</v>
      </c>
      <c r="T55" s="48" t="s">
        <v>180</v>
      </c>
      <c r="U55" s="282"/>
      <c r="V55" s="282"/>
      <c r="W55" s="282"/>
      <c r="X55" s="282"/>
      <c r="Y55" s="244"/>
    </row>
    <row r="56" spans="1:25" ht="30" customHeight="1" thickTop="1" thickBot="1" x14ac:dyDescent="0.3">
      <c r="A56" s="246"/>
      <c r="B56" s="590"/>
      <c r="C56" s="545"/>
      <c r="D56" s="48" t="str">
        <f>VLOOKUP("e3v2",Labels!$A$1:$C$1001,IF(LanguageSelection="FR",3,2),FALSE)</f>
        <v>Enforcement</v>
      </c>
      <c r="E56" s="278">
        <f>'Enabling environment'!E14</f>
        <v>0</v>
      </c>
      <c r="F56" s="278">
        <f>'Enabling environment'!F14</f>
        <v>0</v>
      </c>
      <c r="G56" s="278" t="str">
        <f>IF(ISBLANK('Enabling environment'!G14),"",'Enabling environment'!G14)</f>
        <v/>
      </c>
      <c r="H56" s="296">
        <f>'Enabling environment'!H14</f>
        <v>0</v>
      </c>
      <c r="I56" s="244"/>
      <c r="J56" s="543"/>
      <c r="K56" s="545"/>
      <c r="L56" s="48" t="s">
        <v>181</v>
      </c>
      <c r="M56" s="463"/>
      <c r="N56" s="454"/>
      <c r="O56" s="461"/>
      <c r="P56" s="460"/>
      <c r="Q56" s="244"/>
      <c r="R56" s="543"/>
      <c r="S56" s="545"/>
      <c r="T56" s="48" t="s">
        <v>181</v>
      </c>
      <c r="U56" s="282"/>
      <c r="V56" s="282"/>
      <c r="W56" s="282"/>
      <c r="X56" s="282"/>
      <c r="Y56" s="244"/>
    </row>
    <row r="57" spans="1:25" ht="30" customHeight="1" thickTop="1" thickBot="1" x14ac:dyDescent="0.3">
      <c r="A57" s="246"/>
      <c r="B57" s="590"/>
      <c r="C57" s="538" t="str">
        <f>VLOOKUP("e4",Labels!$A$1:$C$1001,IF(LanguageSelection="FR",3,2),FALSE)</f>
        <v>E4
Market information</v>
      </c>
      <c r="D57" s="48" t="str">
        <f>VLOOKUP("e4v1",Labels!$A$1:$C$1001,IF(LanguageSelection="FR",3,2),FALSE)</f>
        <v>Market information</v>
      </c>
      <c r="E57" s="278">
        <f>'Enabling environment'!E15</f>
        <v>0</v>
      </c>
      <c r="F57" s="278">
        <f>'Enabling environment'!F15</f>
        <v>0</v>
      </c>
      <c r="G57" s="278" t="str">
        <f>IF(ISBLANK('Enabling environment'!G15),"",'Enabling environment'!G15)</f>
        <v/>
      </c>
      <c r="H57" s="296">
        <f>'Enabling environment'!H15</f>
        <v>0</v>
      </c>
      <c r="I57" s="244"/>
      <c r="J57" s="543"/>
      <c r="K57" s="538" t="s">
        <v>182</v>
      </c>
      <c r="L57" s="48" t="s">
        <v>183</v>
      </c>
      <c r="M57" s="463"/>
      <c r="N57" s="454"/>
      <c r="O57" s="460"/>
      <c r="P57" s="460"/>
      <c r="Q57" s="244"/>
      <c r="R57" s="543"/>
      <c r="S57" s="538" t="s">
        <v>182</v>
      </c>
      <c r="T57" s="48" t="s">
        <v>183</v>
      </c>
      <c r="U57" s="282"/>
      <c r="V57" s="282"/>
      <c r="W57" s="282"/>
      <c r="X57" s="282"/>
      <c r="Y57" s="244"/>
    </row>
    <row r="58" spans="1:25" ht="32.450000000000003" customHeight="1" thickTop="1" thickBot="1" x14ac:dyDescent="0.3">
      <c r="A58" s="246"/>
      <c r="B58" s="590"/>
      <c r="C58" s="539"/>
      <c r="D58" s="48" t="str">
        <f>VLOOKUP("e4v2",Labels!$A$1:$C$1001,IF(LanguageSelection="FR",3,2),FALSE)</f>
        <v>Market facilitation organisations</v>
      </c>
      <c r="E58" s="278">
        <f>'Enabling environment'!E16</f>
        <v>0</v>
      </c>
      <c r="F58" s="278">
        <f>'Enabling environment'!F16</f>
        <v>0</v>
      </c>
      <c r="G58" s="278" t="str">
        <f>IF(ISBLANK('Enabling environment'!G16),"",'Enabling environment'!G16)</f>
        <v/>
      </c>
      <c r="H58" s="296">
        <f>'Enabling environment'!H16</f>
        <v>0</v>
      </c>
      <c r="I58" s="244"/>
      <c r="J58" s="543"/>
      <c r="K58" s="539"/>
      <c r="L58" s="48" t="s">
        <v>184</v>
      </c>
      <c r="M58" s="463"/>
      <c r="N58" s="454"/>
      <c r="O58" s="460"/>
      <c r="P58" s="460"/>
      <c r="Q58" s="244"/>
      <c r="R58" s="543"/>
      <c r="S58" s="539"/>
      <c r="T58" s="48" t="s">
        <v>184</v>
      </c>
      <c r="U58" s="282"/>
      <c r="V58" s="282"/>
      <c r="W58" s="282"/>
      <c r="X58" s="282"/>
      <c r="Y58" s="244"/>
    </row>
    <row r="59" spans="1:25" ht="30" customHeight="1" thickTop="1" thickBot="1" x14ac:dyDescent="0.3">
      <c r="A59" s="246"/>
      <c r="B59" s="590"/>
      <c r="C59" s="545"/>
      <c r="D59" s="48" t="str">
        <f>VLOOKUP("e4v3",Labels!$A$1:$C$1001,IF(LanguageSelection="FR",3,2),FALSE)</f>
        <v>Awareness campaigns</v>
      </c>
      <c r="E59" s="278">
        <f>'Enabling environment'!E17</f>
        <v>0</v>
      </c>
      <c r="F59" s="278">
        <f>'Enabling environment'!F17</f>
        <v>0</v>
      </c>
      <c r="G59" s="278" t="str">
        <f>IF(ISBLANK('Enabling environment'!G17),"",'Enabling environment'!G17)</f>
        <v/>
      </c>
      <c r="H59" s="296">
        <f>'Enabling environment'!H17</f>
        <v>0</v>
      </c>
      <c r="I59" s="244"/>
      <c r="J59" s="543"/>
      <c r="K59" s="545"/>
      <c r="L59" s="48" t="s">
        <v>185</v>
      </c>
      <c r="M59" s="463"/>
      <c r="N59" s="454"/>
      <c r="O59" s="459"/>
      <c r="P59" s="460"/>
      <c r="Q59" s="244"/>
      <c r="R59" s="543"/>
      <c r="S59" s="545"/>
      <c r="T59" s="48" t="s">
        <v>185</v>
      </c>
      <c r="U59" s="282"/>
      <c r="V59" s="282"/>
      <c r="W59" s="282"/>
      <c r="X59" s="282"/>
      <c r="Y59" s="244"/>
    </row>
    <row r="60" spans="1:25" ht="30" customHeight="1" thickTop="1" thickBot="1" x14ac:dyDescent="0.3">
      <c r="A60" s="246"/>
      <c r="B60" s="590"/>
      <c r="C60" s="538" t="str">
        <f>VLOOKUP("e5",Labels!$A$1:$C$1001,IF(LanguageSelection="FR",3,2),FALSE)</f>
        <v>E5
Expertise development</v>
      </c>
      <c r="D60" s="48" t="str">
        <f>VLOOKUP("e5v1",Labels!$A$1:$C$1001,IF(LanguageSelection="FR",3,2),FALSE)</f>
        <v>Technical courses</v>
      </c>
      <c r="E60" s="278">
        <f>'Enabling environment'!E18</f>
        <v>0</v>
      </c>
      <c r="F60" s="278">
        <f>'Enabling environment'!F18</f>
        <v>0</v>
      </c>
      <c r="G60" s="278" t="str">
        <f>IF(ISBLANK('Enabling environment'!G18),"",'Enabling environment'!G18)</f>
        <v/>
      </c>
      <c r="H60" s="296">
        <f>'Enabling environment'!H18</f>
        <v>0</v>
      </c>
      <c r="I60" s="244"/>
      <c r="J60" s="543"/>
      <c r="K60" s="538" t="s">
        <v>186</v>
      </c>
      <c r="L60" s="48" t="s">
        <v>187</v>
      </c>
      <c r="M60" s="463"/>
      <c r="N60" s="454"/>
      <c r="O60" s="459"/>
      <c r="P60" s="460"/>
      <c r="Q60" s="244"/>
      <c r="R60" s="543"/>
      <c r="S60" s="538" t="s">
        <v>186</v>
      </c>
      <c r="T60" s="48" t="s">
        <v>187</v>
      </c>
      <c r="U60" s="282"/>
      <c r="V60" s="282"/>
      <c r="W60" s="282"/>
      <c r="X60" s="282"/>
      <c r="Y60" s="244"/>
    </row>
    <row r="61" spans="1:25" ht="30" customHeight="1" thickTop="1" thickBot="1" x14ac:dyDescent="0.3">
      <c r="A61" s="246"/>
      <c r="B61" s="590"/>
      <c r="C61" s="539"/>
      <c r="D61" s="39" t="str">
        <f>VLOOKUP("e5v2",Labels!$A$1:$C$1001,IF(LanguageSelection="FR",3,2),FALSE)</f>
        <v>Business Development Training</v>
      </c>
      <c r="E61" s="278">
        <f>'Enabling environment'!E19</f>
        <v>0</v>
      </c>
      <c r="F61" s="278">
        <f>'Enabling environment'!F19</f>
        <v>0</v>
      </c>
      <c r="G61" s="278" t="str">
        <f>IF(ISBLANK('Enabling environment'!G19),"",'Enabling environment'!G19)</f>
        <v/>
      </c>
      <c r="H61" s="296">
        <f>'Enabling environment'!H19</f>
        <v>0</v>
      </c>
      <c r="I61" s="244"/>
      <c r="J61" s="543"/>
      <c r="K61" s="539"/>
      <c r="L61" s="39" t="s">
        <v>188</v>
      </c>
      <c r="M61" s="463"/>
      <c r="N61" s="454"/>
      <c r="O61" s="459"/>
      <c r="P61" s="460"/>
      <c r="Q61" s="244"/>
      <c r="R61" s="543"/>
      <c r="S61" s="539"/>
      <c r="T61" s="39" t="s">
        <v>188</v>
      </c>
      <c r="U61" s="282"/>
      <c r="V61" s="282"/>
      <c r="W61" s="282"/>
      <c r="X61" s="282"/>
      <c r="Y61" s="244"/>
    </row>
    <row r="62" spans="1:25" ht="30" customHeight="1" thickTop="1" thickBot="1" x14ac:dyDescent="0.3">
      <c r="A62" s="246"/>
      <c r="B62" s="591"/>
      <c r="C62" s="588"/>
      <c r="D62" s="297" t="str">
        <f>VLOOKUP("e5v3",Labels!$A$1:$C$1001,IF(LanguageSelection="FR",3,2),FALSE)</f>
        <v>User training</v>
      </c>
      <c r="E62" s="298">
        <f>'Enabling environment'!E20</f>
        <v>0</v>
      </c>
      <c r="F62" s="298">
        <f>'Enabling environment'!F20</f>
        <v>0</v>
      </c>
      <c r="G62" s="298" t="str">
        <f>IF(ISBLANK('Enabling environment'!G20),"",'Enabling environment'!G20)</f>
        <v/>
      </c>
      <c r="H62" s="299">
        <f>'Enabling environment'!H20</f>
        <v>0</v>
      </c>
      <c r="I62" s="244"/>
      <c r="J62" s="544"/>
      <c r="K62" s="545"/>
      <c r="L62" s="39" t="s">
        <v>189</v>
      </c>
      <c r="M62" s="463"/>
      <c r="N62" s="454"/>
      <c r="O62" s="459"/>
      <c r="P62" s="460"/>
      <c r="Q62" s="244"/>
      <c r="R62" s="544"/>
      <c r="S62" s="545"/>
      <c r="T62" s="39" t="s">
        <v>189</v>
      </c>
      <c r="U62" s="282"/>
      <c r="V62" s="282"/>
      <c r="W62" s="282"/>
      <c r="X62" s="282"/>
      <c r="Y62" s="244"/>
    </row>
    <row r="63" spans="1:25" ht="17.25" customHeight="1" thickBot="1" x14ac:dyDescent="0.3">
      <c r="A63" s="246"/>
      <c r="B63" s="247"/>
      <c r="C63" s="254"/>
      <c r="D63" s="244"/>
      <c r="E63" s="244"/>
      <c r="F63" s="244"/>
      <c r="G63" s="244"/>
      <c r="H63" s="244"/>
      <c r="I63" s="244"/>
      <c r="J63" s="244"/>
      <c r="K63" s="246"/>
      <c r="L63" s="244"/>
      <c r="M63" s="244"/>
      <c r="N63" s="244"/>
      <c r="O63" s="244"/>
      <c r="P63" s="244"/>
      <c r="Q63" s="244"/>
      <c r="R63" s="244"/>
      <c r="S63" s="246"/>
      <c r="T63" s="244"/>
      <c r="U63" s="244"/>
      <c r="V63" s="244"/>
      <c r="W63" s="244"/>
      <c r="X63" s="244"/>
      <c r="Y63" s="244"/>
    </row>
    <row r="64" spans="1:25" ht="30" customHeight="1" thickTop="1" thickBot="1" x14ac:dyDescent="0.3">
      <c r="A64" s="246"/>
      <c r="B64" s="532" t="s">
        <v>758</v>
      </c>
      <c r="C64" s="536" t="str">
        <f>VLOOKUP("d7",Labels!$A$1:$C$1001,IF(LanguageSelection="FR",3,2),FALSE)</f>
        <v>D7
Productive use</v>
      </c>
      <c r="D64" s="387" t="str">
        <f>VLOOKUP("d7v1",Labels!$A$1:$C$1001,IF(LanguageSelection="FR",3,2),FALSE)</f>
        <v>Sales volume of productive use market(s)</v>
      </c>
      <c r="E64" s="278">
        <f>'Demand side'!E14</f>
        <v>0</v>
      </c>
      <c r="F64" s="278">
        <f>'Demand side'!F14</f>
        <v>0</v>
      </c>
      <c r="G64" s="278" t="str">
        <f>IF(ISBLANK('Demand side'!G14),"",'Demand side'!G14)</f>
        <v/>
      </c>
      <c r="H64" s="278">
        <f>'Demand side'!H14</f>
        <v>0</v>
      </c>
      <c r="I64" s="244"/>
      <c r="J64" s="534" t="s">
        <v>758</v>
      </c>
      <c r="K64" s="536" t="s">
        <v>313</v>
      </c>
      <c r="L64" s="386" t="s">
        <v>695</v>
      </c>
      <c r="M64" s="463"/>
      <c r="N64" s="463"/>
      <c r="O64" s="463"/>
      <c r="P64" s="463"/>
      <c r="Q64" s="244"/>
      <c r="R64" s="534" t="s">
        <v>758</v>
      </c>
      <c r="S64" s="536" t="s">
        <v>313</v>
      </c>
      <c r="T64" s="386" t="s">
        <v>695</v>
      </c>
      <c r="U64" s="463"/>
      <c r="V64" s="463"/>
      <c r="W64" s="463"/>
      <c r="X64" s="463"/>
      <c r="Y64" s="244"/>
    </row>
    <row r="65" spans="1:25" ht="30" customHeight="1" thickTop="1" thickBot="1" x14ac:dyDescent="0.3">
      <c r="A65" s="246"/>
      <c r="B65" s="533"/>
      <c r="C65" s="537"/>
      <c r="D65" s="387" t="str">
        <f>VLOOKUP("d7v2",Labels!$A$1:$C$1001,IF(LanguageSelection="FR",3,2),FALSE)</f>
        <v>Economic capacity to invest in productive use</v>
      </c>
      <c r="E65" s="278">
        <f>'Demand side'!E15</f>
        <v>0</v>
      </c>
      <c r="F65" s="278">
        <f>'Demand side'!F15</f>
        <v>0</v>
      </c>
      <c r="G65" s="278" t="str">
        <f>IF(ISBLANK('Demand side'!G15),"",'Demand side'!G15)</f>
        <v/>
      </c>
      <c r="H65" s="278">
        <f>'Demand side'!H15</f>
        <v>0</v>
      </c>
      <c r="I65" s="244"/>
      <c r="J65" s="535"/>
      <c r="K65" s="537"/>
      <c r="L65" s="387" t="s">
        <v>685</v>
      </c>
      <c r="M65" s="467"/>
      <c r="N65" s="463"/>
      <c r="O65" s="463"/>
      <c r="P65" s="463"/>
      <c r="Q65" s="244"/>
      <c r="R65" s="535"/>
      <c r="S65" s="537"/>
      <c r="T65" s="387" t="s">
        <v>685</v>
      </c>
      <c r="U65" s="467"/>
      <c r="V65" s="463"/>
      <c r="W65" s="463"/>
      <c r="X65" s="463"/>
      <c r="Y65" s="244"/>
    </row>
    <row r="66" spans="1:25" ht="15" x14ac:dyDescent="0.25">
      <c r="A66" s="244"/>
      <c r="B66" s="244"/>
      <c r="C66" s="244"/>
      <c r="D66" s="244"/>
      <c r="E66" s="244"/>
      <c r="F66" s="244"/>
      <c r="G66" s="244"/>
      <c r="H66" s="244"/>
      <c r="I66" s="244"/>
      <c r="J66" s="244"/>
      <c r="K66" s="246"/>
      <c r="L66" s="244"/>
      <c r="M66" s="244"/>
      <c r="N66" s="244"/>
      <c r="O66" s="244"/>
      <c r="P66" s="244"/>
      <c r="Q66" s="244"/>
      <c r="R66" s="244"/>
      <c r="S66" s="246"/>
      <c r="T66" s="244"/>
      <c r="U66" s="244"/>
      <c r="V66" s="244"/>
      <c r="W66" s="244"/>
      <c r="X66" s="244"/>
      <c r="Y66" s="244"/>
    </row>
    <row r="67" spans="1:25" ht="15" x14ac:dyDescent="0.25">
      <c r="A67" s="32"/>
      <c r="B67" s="32"/>
      <c r="C67" s="32"/>
    </row>
    <row r="68" spans="1:25" ht="15" x14ac:dyDescent="0.25">
      <c r="A68" s="32"/>
      <c r="B68" s="32"/>
      <c r="C68" s="32"/>
    </row>
    <row r="69" spans="1:25" ht="15" x14ac:dyDescent="0.25">
      <c r="A69" s="32"/>
      <c r="B69" s="32"/>
      <c r="C69" s="32"/>
    </row>
    <row r="70" spans="1:25" ht="15" x14ac:dyDescent="0.25">
      <c r="A70" s="32"/>
      <c r="B70" s="32"/>
      <c r="C70" s="32"/>
    </row>
    <row r="71" spans="1:25" ht="15" x14ac:dyDescent="0.25">
      <c r="A71" s="32"/>
      <c r="B71" s="32"/>
      <c r="C71" s="32"/>
    </row>
    <row r="72" spans="1:25" ht="15" x14ac:dyDescent="0.25">
      <c r="A72" s="32"/>
      <c r="B72" s="32"/>
      <c r="C72" s="32"/>
    </row>
    <row r="73" spans="1:25" ht="15" x14ac:dyDescent="0.25">
      <c r="A73" s="32"/>
      <c r="B73" s="32"/>
      <c r="C73" s="32"/>
    </row>
    <row r="74" spans="1:25" ht="15" x14ac:dyDescent="0.25">
      <c r="A74" s="32"/>
      <c r="B74" s="32"/>
      <c r="C74" s="32"/>
    </row>
    <row r="75" spans="1:25" ht="15" x14ac:dyDescent="0.25">
      <c r="A75" s="32"/>
      <c r="B75" s="32"/>
      <c r="C75" s="32"/>
    </row>
    <row r="76" spans="1:25" ht="15" x14ac:dyDescent="0.25">
      <c r="A76" s="32"/>
      <c r="B76" s="32"/>
      <c r="C76" s="32"/>
    </row>
    <row r="77" spans="1:25" ht="15" x14ac:dyDescent="0.25">
      <c r="A77" s="32"/>
      <c r="B77" s="32"/>
      <c r="C77" s="32"/>
    </row>
    <row r="78" spans="1:25" ht="15" x14ac:dyDescent="0.25">
      <c r="A78" s="32"/>
      <c r="B78" s="32"/>
      <c r="C78" s="32"/>
    </row>
    <row r="79" spans="1:25" ht="15" x14ac:dyDescent="0.25">
      <c r="A79" s="32"/>
      <c r="B79" s="32"/>
      <c r="C79" s="32"/>
    </row>
    <row r="80" spans="1:25" ht="15" x14ac:dyDescent="0.25">
      <c r="A80" s="32"/>
      <c r="B80" s="32"/>
      <c r="C80" s="32"/>
    </row>
    <row r="81" spans="1:3" ht="15" x14ac:dyDescent="0.25">
      <c r="A81" s="32"/>
      <c r="B81" s="32"/>
      <c r="C81" s="32"/>
    </row>
    <row r="82" spans="1:3" ht="15" x14ac:dyDescent="0.25">
      <c r="A82" s="32"/>
      <c r="B82" s="32"/>
      <c r="C82" s="32"/>
    </row>
    <row r="83" spans="1:3" ht="15" x14ac:dyDescent="0.25">
      <c r="A83" s="32"/>
      <c r="B83" s="32"/>
      <c r="C83" s="32"/>
    </row>
    <row r="84" spans="1:3" ht="15" x14ac:dyDescent="0.25">
      <c r="A84" s="32"/>
      <c r="B84" s="32"/>
      <c r="C84" s="32"/>
    </row>
    <row r="85" spans="1:3" ht="15" x14ac:dyDescent="0.25">
      <c r="A85" s="32"/>
      <c r="B85" s="32"/>
      <c r="C85" s="32"/>
    </row>
    <row r="86" spans="1:3" ht="15" x14ac:dyDescent="0.25">
      <c r="A86" s="32"/>
      <c r="B86" s="32"/>
      <c r="C86" s="32"/>
    </row>
    <row r="87" spans="1:3" ht="15" x14ac:dyDescent="0.25">
      <c r="A87" s="32"/>
      <c r="B87" s="32"/>
      <c r="C87" s="32"/>
    </row>
    <row r="88" spans="1:3" ht="15" x14ac:dyDescent="0.25">
      <c r="A88" s="32"/>
      <c r="B88" s="32"/>
      <c r="C88" s="32"/>
    </row>
    <row r="89" spans="1:3" ht="15" x14ac:dyDescent="0.25">
      <c r="A89" s="32"/>
      <c r="B89" s="32"/>
      <c r="C89" s="32"/>
    </row>
    <row r="90" spans="1:3" ht="15" x14ac:dyDescent="0.25">
      <c r="A90" s="32"/>
      <c r="B90" s="32"/>
      <c r="C90" s="32"/>
    </row>
    <row r="91" spans="1:3" ht="15" x14ac:dyDescent="0.25">
      <c r="A91" s="32"/>
      <c r="B91" s="32"/>
      <c r="C91" s="32"/>
    </row>
    <row r="92" spans="1:3" ht="15" x14ac:dyDescent="0.25">
      <c r="A92" s="32"/>
      <c r="B92" s="32"/>
      <c r="C92" s="32"/>
    </row>
    <row r="93" spans="1:3" ht="15" x14ac:dyDescent="0.25">
      <c r="A93" s="32"/>
      <c r="B93" s="32"/>
      <c r="C93" s="32"/>
    </row>
    <row r="94" spans="1:3" ht="15" x14ac:dyDescent="0.25">
      <c r="A94" s="32"/>
      <c r="B94" s="32"/>
      <c r="C94" s="32"/>
    </row>
    <row r="95" spans="1:3" ht="15" x14ac:dyDescent="0.25">
      <c r="A95" s="32"/>
      <c r="B95" s="32"/>
      <c r="C95" s="32"/>
    </row>
    <row r="96" spans="1:3" ht="15" x14ac:dyDescent="0.25">
      <c r="A96" s="32"/>
      <c r="B96" s="32"/>
      <c r="C96" s="32"/>
    </row>
    <row r="97" spans="1:3" ht="15" x14ac:dyDescent="0.25">
      <c r="A97" s="32"/>
      <c r="B97" s="32"/>
      <c r="C97" s="32"/>
    </row>
    <row r="98" spans="1:3" ht="15" x14ac:dyDescent="0.25">
      <c r="A98" s="32"/>
      <c r="B98" s="32"/>
      <c r="C98" s="32"/>
    </row>
    <row r="99" spans="1:3" ht="15" x14ac:dyDescent="0.25">
      <c r="A99" s="32"/>
      <c r="B99" s="32"/>
      <c r="C99" s="32"/>
    </row>
    <row r="100" spans="1:3" ht="15" x14ac:dyDescent="0.25">
      <c r="A100" s="32"/>
      <c r="B100" s="32"/>
      <c r="C100" s="32"/>
    </row>
    <row r="101" spans="1:3" ht="15" x14ac:dyDescent="0.25">
      <c r="A101" s="32"/>
      <c r="B101" s="32"/>
      <c r="C101" s="32"/>
    </row>
    <row r="102" spans="1:3" ht="15" x14ac:dyDescent="0.25">
      <c r="A102" s="32"/>
      <c r="B102" s="32"/>
      <c r="C102" s="32"/>
    </row>
    <row r="103" spans="1:3" ht="15" x14ac:dyDescent="0.25">
      <c r="A103" s="32"/>
      <c r="B103" s="32"/>
      <c r="C103" s="32"/>
    </row>
    <row r="104" spans="1:3" ht="15" x14ac:dyDescent="0.25">
      <c r="A104" s="32"/>
      <c r="B104" s="32"/>
      <c r="C104" s="32"/>
    </row>
    <row r="105" spans="1:3" ht="15" x14ac:dyDescent="0.25">
      <c r="A105" s="32"/>
      <c r="B105" s="32"/>
      <c r="C105" s="32"/>
    </row>
    <row r="106" spans="1:3" ht="15" x14ac:dyDescent="0.25">
      <c r="A106" s="32"/>
      <c r="B106" s="32"/>
      <c r="C106" s="32"/>
    </row>
    <row r="107" spans="1:3" ht="15" x14ac:dyDescent="0.25">
      <c r="A107" s="32"/>
      <c r="B107" s="32"/>
      <c r="C107" s="32"/>
    </row>
    <row r="108" spans="1:3" ht="15" x14ac:dyDescent="0.25">
      <c r="A108" s="32"/>
      <c r="B108" s="32"/>
      <c r="C108" s="32"/>
    </row>
    <row r="109" spans="1:3" ht="15" x14ac:dyDescent="0.25">
      <c r="A109" s="32"/>
      <c r="B109" s="32"/>
      <c r="C109" s="32"/>
    </row>
    <row r="110" spans="1:3" ht="15" x14ac:dyDescent="0.25">
      <c r="A110" s="32"/>
      <c r="B110" s="32"/>
      <c r="C110" s="32"/>
    </row>
    <row r="111" spans="1:3" ht="15" x14ac:dyDescent="0.25">
      <c r="A111" s="32"/>
      <c r="B111" s="32"/>
      <c r="C111" s="32"/>
    </row>
    <row r="112" spans="1:3" ht="15" x14ac:dyDescent="0.25">
      <c r="A112" s="32"/>
      <c r="B112" s="32"/>
      <c r="C112" s="32"/>
    </row>
    <row r="113" spans="1:3" ht="15" x14ac:dyDescent="0.25">
      <c r="A113" s="32"/>
      <c r="B113" s="32"/>
      <c r="C113" s="32"/>
    </row>
    <row r="114" spans="1:3" ht="15" x14ac:dyDescent="0.25">
      <c r="A114" s="32"/>
      <c r="B114" s="32"/>
      <c r="C114" s="32"/>
    </row>
    <row r="115" spans="1:3" ht="15" x14ac:dyDescent="0.25">
      <c r="A115" s="32"/>
      <c r="B115" s="32"/>
      <c r="C115" s="32"/>
    </row>
    <row r="116" spans="1:3" ht="15" x14ac:dyDescent="0.25">
      <c r="A116" s="32"/>
      <c r="B116" s="32"/>
      <c r="C116" s="32"/>
    </row>
    <row r="117" spans="1:3" ht="15" x14ac:dyDescent="0.25">
      <c r="A117" s="32"/>
      <c r="B117" s="32"/>
      <c r="C117" s="32"/>
    </row>
    <row r="118" spans="1:3" ht="15" x14ac:dyDescent="0.25">
      <c r="A118" s="32"/>
      <c r="B118" s="32"/>
      <c r="C118" s="32"/>
    </row>
    <row r="119" spans="1:3" ht="15" x14ac:dyDescent="0.25">
      <c r="A119" s="32"/>
      <c r="B119" s="32"/>
      <c r="C119" s="32"/>
    </row>
    <row r="120" spans="1:3" ht="15" x14ac:dyDescent="0.25">
      <c r="A120" s="32"/>
      <c r="B120" s="32"/>
      <c r="C120" s="32"/>
    </row>
    <row r="121" spans="1:3" ht="15" x14ac:dyDescent="0.25">
      <c r="A121" s="32"/>
      <c r="B121" s="32"/>
      <c r="C121" s="32"/>
    </row>
    <row r="122" spans="1:3" ht="15" x14ac:dyDescent="0.25">
      <c r="A122" s="32"/>
      <c r="B122" s="32"/>
      <c r="C122" s="32"/>
    </row>
    <row r="123" spans="1:3" ht="15" x14ac:dyDescent="0.25">
      <c r="A123" s="32"/>
      <c r="B123" s="32"/>
      <c r="C123" s="32"/>
    </row>
    <row r="124" spans="1:3" ht="15" x14ac:dyDescent="0.25">
      <c r="A124" s="32"/>
      <c r="B124" s="32"/>
      <c r="C124" s="32"/>
    </row>
    <row r="125" spans="1:3" ht="15" x14ac:dyDescent="0.25">
      <c r="A125" s="32"/>
      <c r="B125" s="32"/>
      <c r="C125" s="32"/>
    </row>
    <row r="126" spans="1:3" ht="15" x14ac:dyDescent="0.25">
      <c r="A126" s="32"/>
      <c r="B126" s="32"/>
      <c r="C126" s="32"/>
    </row>
    <row r="127" spans="1:3" ht="15" x14ac:dyDescent="0.25">
      <c r="A127" s="32"/>
      <c r="B127" s="32"/>
      <c r="C127" s="32"/>
    </row>
    <row r="128" spans="1:3" ht="15" x14ac:dyDescent="0.25">
      <c r="A128" s="32"/>
      <c r="B128" s="32"/>
      <c r="C128" s="32"/>
    </row>
    <row r="129" spans="1:3" ht="15" x14ac:dyDescent="0.25">
      <c r="A129" s="32"/>
      <c r="B129" s="32"/>
      <c r="C129" s="32"/>
    </row>
    <row r="130" spans="1:3" ht="15" x14ac:dyDescent="0.25">
      <c r="A130" s="32"/>
      <c r="B130" s="32"/>
      <c r="C130" s="32"/>
    </row>
    <row r="131" spans="1:3" ht="15" x14ac:dyDescent="0.25">
      <c r="A131" s="32"/>
      <c r="B131" s="32"/>
      <c r="C131" s="32"/>
    </row>
    <row r="132" spans="1:3" ht="15" x14ac:dyDescent="0.25">
      <c r="A132" s="32"/>
      <c r="B132" s="32"/>
      <c r="C132" s="32"/>
    </row>
    <row r="133" spans="1:3" ht="15" x14ac:dyDescent="0.25">
      <c r="A133" s="32"/>
      <c r="B133" s="32"/>
      <c r="C133" s="32"/>
    </row>
    <row r="134" spans="1:3" ht="15" x14ac:dyDescent="0.25">
      <c r="A134" s="32"/>
      <c r="B134" s="32"/>
      <c r="C134" s="32"/>
    </row>
    <row r="135" spans="1:3" ht="15" x14ac:dyDescent="0.25">
      <c r="A135" s="32"/>
      <c r="B135" s="32"/>
      <c r="C135" s="32"/>
    </row>
    <row r="136" spans="1:3" ht="15" x14ac:dyDescent="0.25">
      <c r="A136" s="32"/>
      <c r="B136" s="32"/>
      <c r="C136" s="32"/>
    </row>
    <row r="137" spans="1:3" ht="15" x14ac:dyDescent="0.25">
      <c r="A137" s="32"/>
      <c r="B137" s="32"/>
      <c r="C137" s="32"/>
    </row>
    <row r="138" spans="1:3" ht="15" x14ac:dyDescent="0.25">
      <c r="A138" s="32"/>
      <c r="B138" s="32"/>
      <c r="C138" s="32"/>
    </row>
    <row r="139" spans="1:3" ht="15" x14ac:dyDescent="0.25">
      <c r="A139" s="32"/>
      <c r="B139" s="32"/>
      <c r="C139" s="32"/>
    </row>
    <row r="140" spans="1:3" ht="15" x14ac:dyDescent="0.25">
      <c r="A140" s="32"/>
      <c r="B140" s="32"/>
      <c r="C140" s="32"/>
    </row>
    <row r="141" spans="1:3" ht="15" x14ac:dyDescent="0.25">
      <c r="A141" s="32"/>
      <c r="B141" s="32"/>
      <c r="C141" s="32"/>
    </row>
    <row r="142" spans="1:3" ht="15" x14ac:dyDescent="0.25">
      <c r="A142" s="32"/>
      <c r="B142" s="32"/>
      <c r="C142" s="32"/>
    </row>
    <row r="143" spans="1:3" ht="15" x14ac:dyDescent="0.25">
      <c r="A143" s="32"/>
      <c r="B143" s="32"/>
      <c r="C143" s="32"/>
    </row>
    <row r="144" spans="1:3" ht="15" x14ac:dyDescent="0.25">
      <c r="A144" s="32"/>
      <c r="B144" s="32"/>
      <c r="C144" s="32"/>
    </row>
    <row r="145" spans="1:3" ht="15" x14ac:dyDescent="0.25">
      <c r="A145" s="32"/>
      <c r="B145" s="32"/>
      <c r="C145" s="32"/>
    </row>
    <row r="146" spans="1:3" ht="15" x14ac:dyDescent="0.25">
      <c r="A146" s="32"/>
      <c r="B146" s="32"/>
      <c r="C146" s="32"/>
    </row>
    <row r="147" spans="1:3" ht="15" x14ac:dyDescent="0.25">
      <c r="A147" s="32"/>
      <c r="B147" s="32"/>
      <c r="C147" s="32"/>
    </row>
    <row r="148" spans="1:3" ht="15" x14ac:dyDescent="0.25">
      <c r="A148" s="32"/>
      <c r="B148" s="32"/>
      <c r="C148" s="32"/>
    </row>
    <row r="149" spans="1:3" ht="15" x14ac:dyDescent="0.25">
      <c r="A149" s="32"/>
      <c r="B149" s="32"/>
      <c r="C149" s="32"/>
    </row>
    <row r="150" spans="1:3" ht="15" x14ac:dyDescent="0.25">
      <c r="A150" s="32"/>
      <c r="B150" s="32"/>
      <c r="C150" s="32"/>
    </row>
    <row r="151" spans="1:3" ht="15" x14ac:dyDescent="0.25">
      <c r="A151" s="32"/>
      <c r="B151" s="32"/>
      <c r="C151" s="32"/>
    </row>
    <row r="152" spans="1:3" ht="15" x14ac:dyDescent="0.25">
      <c r="A152" s="32"/>
      <c r="B152" s="32"/>
      <c r="C152" s="32"/>
    </row>
    <row r="153" spans="1:3" ht="15" x14ac:dyDescent="0.25">
      <c r="A153" s="32"/>
      <c r="B153" s="32"/>
      <c r="C153" s="32"/>
    </row>
    <row r="154" spans="1:3" ht="15" x14ac:dyDescent="0.25">
      <c r="A154" s="32"/>
      <c r="B154" s="32"/>
      <c r="C154" s="32"/>
    </row>
    <row r="155" spans="1:3" ht="15" x14ac:dyDescent="0.25">
      <c r="A155" s="32"/>
      <c r="B155" s="32"/>
      <c r="C155" s="32"/>
    </row>
    <row r="156" spans="1:3" ht="15" x14ac:dyDescent="0.25">
      <c r="A156" s="32"/>
      <c r="B156" s="32"/>
      <c r="C156" s="32"/>
    </row>
    <row r="157" spans="1:3" ht="15" x14ac:dyDescent="0.25">
      <c r="A157" s="32"/>
      <c r="B157" s="32"/>
      <c r="C157" s="32"/>
    </row>
    <row r="158" spans="1:3" ht="15" x14ac:dyDescent="0.25">
      <c r="A158" s="32"/>
      <c r="B158" s="32"/>
      <c r="C158" s="32"/>
    </row>
    <row r="159" spans="1:3" ht="15" x14ac:dyDescent="0.25">
      <c r="A159" s="32"/>
      <c r="B159" s="32"/>
      <c r="C159" s="32"/>
    </row>
    <row r="160" spans="1:3" ht="15" x14ac:dyDescent="0.25">
      <c r="A160" s="32"/>
      <c r="B160" s="32"/>
      <c r="C160" s="32"/>
    </row>
    <row r="161" spans="1:3" ht="15" x14ac:dyDescent="0.25">
      <c r="A161" s="32"/>
      <c r="B161" s="32"/>
      <c r="C161" s="32"/>
    </row>
    <row r="162" spans="1:3" ht="15" x14ac:dyDescent="0.25">
      <c r="A162" s="32"/>
      <c r="B162" s="32"/>
      <c r="C162" s="32"/>
    </row>
    <row r="163" spans="1:3" ht="15" x14ac:dyDescent="0.25">
      <c r="A163" s="32"/>
      <c r="B163" s="32"/>
      <c r="C163" s="32"/>
    </row>
    <row r="164" spans="1:3" ht="15" x14ac:dyDescent="0.25">
      <c r="A164" s="32"/>
      <c r="B164" s="32"/>
      <c r="C164" s="32"/>
    </row>
    <row r="165" spans="1:3" ht="15" x14ac:dyDescent="0.25">
      <c r="A165" s="32"/>
      <c r="B165" s="32"/>
      <c r="C165" s="32"/>
    </row>
    <row r="166" spans="1:3" ht="15" x14ac:dyDescent="0.25">
      <c r="A166" s="32"/>
      <c r="B166" s="32"/>
      <c r="C166" s="32"/>
    </row>
    <row r="167" spans="1:3" ht="15" x14ac:dyDescent="0.25">
      <c r="A167" s="32"/>
      <c r="B167" s="32"/>
      <c r="C167" s="32"/>
    </row>
    <row r="168" spans="1:3" ht="15" x14ac:dyDescent="0.25">
      <c r="A168" s="32"/>
      <c r="B168" s="32"/>
      <c r="C168" s="32"/>
    </row>
    <row r="169" spans="1:3" ht="15" x14ac:dyDescent="0.25">
      <c r="A169" s="32"/>
      <c r="B169" s="32"/>
      <c r="C169" s="32"/>
    </row>
    <row r="170" spans="1:3" ht="15" x14ac:dyDescent="0.25">
      <c r="A170" s="32"/>
      <c r="B170" s="32"/>
      <c r="C170" s="32"/>
    </row>
    <row r="171" spans="1:3" ht="15" x14ac:dyDescent="0.25">
      <c r="A171" s="32"/>
      <c r="B171" s="32"/>
      <c r="C171" s="32"/>
    </row>
    <row r="172" spans="1:3" ht="15" x14ac:dyDescent="0.25">
      <c r="A172" s="32"/>
      <c r="B172" s="32"/>
      <c r="C172" s="32"/>
    </row>
    <row r="173" spans="1:3" ht="15" x14ac:dyDescent="0.25">
      <c r="A173" s="32"/>
      <c r="B173" s="32"/>
      <c r="C173" s="32"/>
    </row>
    <row r="174" spans="1:3" ht="15" x14ac:dyDescent="0.25">
      <c r="A174" s="32"/>
      <c r="B174" s="32"/>
      <c r="C174" s="32"/>
    </row>
    <row r="175" spans="1:3" ht="15" x14ac:dyDescent="0.25">
      <c r="A175" s="32"/>
      <c r="B175" s="32"/>
      <c r="C175" s="32"/>
    </row>
    <row r="176" spans="1:3" ht="15" x14ac:dyDescent="0.25">
      <c r="A176" s="32"/>
      <c r="B176" s="32"/>
      <c r="C176" s="32"/>
    </row>
    <row r="177" spans="1:3" ht="15" x14ac:dyDescent="0.25">
      <c r="A177" s="32"/>
      <c r="B177" s="32"/>
      <c r="C177" s="32"/>
    </row>
    <row r="178" spans="1:3" ht="15" x14ac:dyDescent="0.25">
      <c r="A178" s="32"/>
      <c r="B178" s="32"/>
      <c r="C178" s="32"/>
    </row>
    <row r="179" spans="1:3" ht="15" x14ac:dyDescent="0.25">
      <c r="A179" s="32"/>
      <c r="B179" s="32"/>
      <c r="C179" s="32"/>
    </row>
    <row r="180" spans="1:3" ht="15" x14ac:dyDescent="0.25">
      <c r="A180" s="32"/>
      <c r="B180" s="32"/>
      <c r="C180" s="32"/>
    </row>
    <row r="181" spans="1:3" ht="15" x14ac:dyDescent="0.25">
      <c r="A181" s="32"/>
      <c r="B181" s="32"/>
      <c r="C181" s="32"/>
    </row>
    <row r="182" spans="1:3" ht="15" x14ac:dyDescent="0.25">
      <c r="A182" s="32"/>
      <c r="B182" s="32"/>
      <c r="C182" s="32"/>
    </row>
    <row r="183" spans="1:3" ht="15" x14ac:dyDescent="0.25">
      <c r="A183" s="32"/>
      <c r="B183" s="32"/>
      <c r="C183" s="32"/>
    </row>
    <row r="184" spans="1:3" ht="15" x14ac:dyDescent="0.25">
      <c r="A184" s="32"/>
      <c r="B184" s="32"/>
      <c r="C184" s="32"/>
    </row>
    <row r="185" spans="1:3" ht="15" x14ac:dyDescent="0.25">
      <c r="A185" s="32"/>
      <c r="B185" s="32"/>
      <c r="C185" s="32"/>
    </row>
    <row r="186" spans="1:3" ht="15" x14ac:dyDescent="0.25">
      <c r="A186" s="32"/>
      <c r="B186" s="32"/>
      <c r="C186" s="32"/>
    </row>
    <row r="187" spans="1:3" ht="15" x14ac:dyDescent="0.25">
      <c r="A187" s="32"/>
      <c r="B187" s="32"/>
      <c r="C187" s="32"/>
    </row>
    <row r="188" spans="1:3" ht="15" x14ac:dyDescent="0.25">
      <c r="A188" s="32"/>
      <c r="B188" s="32"/>
      <c r="C188" s="32"/>
    </row>
    <row r="189" spans="1:3" ht="15" x14ac:dyDescent="0.25">
      <c r="A189" s="32"/>
      <c r="B189" s="32"/>
      <c r="C189" s="32"/>
    </row>
    <row r="190" spans="1:3" ht="15" x14ac:dyDescent="0.25">
      <c r="A190" s="32"/>
      <c r="B190" s="32"/>
      <c r="C190" s="32"/>
    </row>
    <row r="191" spans="1:3" ht="15" x14ac:dyDescent="0.25">
      <c r="A191" s="32"/>
      <c r="B191" s="32"/>
      <c r="C191" s="32"/>
    </row>
    <row r="192" spans="1:3" ht="15" x14ac:dyDescent="0.25">
      <c r="A192" s="32"/>
      <c r="B192" s="32"/>
      <c r="C192" s="32"/>
    </row>
    <row r="193" spans="1:3" ht="15" x14ac:dyDescent="0.25">
      <c r="A193" s="32"/>
      <c r="B193" s="32"/>
      <c r="C193" s="32"/>
    </row>
    <row r="194" spans="1:3" ht="15" x14ac:dyDescent="0.25">
      <c r="A194" s="32"/>
      <c r="B194" s="32"/>
      <c r="C194" s="32"/>
    </row>
    <row r="195" spans="1:3" ht="15" x14ac:dyDescent="0.25">
      <c r="A195" s="32"/>
      <c r="B195" s="32"/>
      <c r="C195" s="32"/>
    </row>
    <row r="196" spans="1:3" ht="15" x14ac:dyDescent="0.25">
      <c r="A196" s="32"/>
      <c r="B196" s="32"/>
      <c r="C196" s="32"/>
    </row>
    <row r="197" spans="1:3" ht="15" x14ac:dyDescent="0.25">
      <c r="A197" s="32"/>
      <c r="B197" s="32"/>
      <c r="C197" s="32"/>
    </row>
    <row r="198" spans="1:3" ht="15" x14ac:dyDescent="0.25">
      <c r="A198" s="32"/>
      <c r="B198" s="32"/>
      <c r="C198" s="32"/>
    </row>
    <row r="199" spans="1:3" ht="15" x14ac:dyDescent="0.25">
      <c r="A199" s="32"/>
      <c r="B199" s="32"/>
      <c r="C199" s="32"/>
    </row>
    <row r="200" spans="1:3" ht="15" x14ac:dyDescent="0.25">
      <c r="A200" s="32"/>
      <c r="B200" s="32"/>
      <c r="C200" s="32"/>
    </row>
    <row r="201" spans="1:3" ht="15" x14ac:dyDescent="0.25">
      <c r="A201" s="32"/>
      <c r="B201" s="32"/>
      <c r="C201" s="32"/>
    </row>
    <row r="202" spans="1:3" ht="15" x14ac:dyDescent="0.25">
      <c r="A202" s="32"/>
      <c r="B202" s="32"/>
      <c r="C202" s="32"/>
    </row>
    <row r="203" spans="1:3" ht="15" x14ac:dyDescent="0.25">
      <c r="A203" s="32"/>
      <c r="B203" s="32"/>
      <c r="C203" s="32"/>
    </row>
    <row r="204" spans="1:3" ht="15" x14ac:dyDescent="0.25">
      <c r="A204" s="32"/>
      <c r="B204" s="32"/>
      <c r="C204" s="32"/>
    </row>
    <row r="205" spans="1:3" ht="15" x14ac:dyDescent="0.25">
      <c r="A205" s="32"/>
      <c r="B205" s="32"/>
      <c r="C205" s="32"/>
    </row>
    <row r="206" spans="1:3" ht="15" x14ac:dyDescent="0.25">
      <c r="A206" s="32"/>
      <c r="B206" s="32"/>
      <c r="C206" s="32"/>
    </row>
    <row r="207" spans="1:3" ht="15" x14ac:dyDescent="0.25">
      <c r="A207" s="32"/>
      <c r="B207" s="32"/>
      <c r="C207" s="32"/>
    </row>
    <row r="208" spans="1:3" ht="15" x14ac:dyDescent="0.25">
      <c r="A208" s="32"/>
      <c r="B208" s="32"/>
      <c r="C208" s="32"/>
    </row>
    <row r="209" spans="1:3" ht="15" x14ac:dyDescent="0.25">
      <c r="A209" s="32"/>
      <c r="B209" s="32"/>
      <c r="C209" s="32"/>
    </row>
    <row r="210" spans="1:3" ht="15" x14ac:dyDescent="0.25">
      <c r="A210" s="32"/>
      <c r="B210" s="32"/>
      <c r="C210" s="32"/>
    </row>
    <row r="211" spans="1:3" ht="15" x14ac:dyDescent="0.25">
      <c r="A211" s="32"/>
      <c r="B211" s="32"/>
      <c r="C211" s="32"/>
    </row>
    <row r="212" spans="1:3" ht="15" x14ac:dyDescent="0.25">
      <c r="A212" s="32"/>
      <c r="B212" s="32"/>
      <c r="C212" s="32"/>
    </row>
    <row r="213" spans="1:3" ht="15" x14ac:dyDescent="0.25">
      <c r="A213" s="32"/>
      <c r="B213" s="32"/>
      <c r="C213" s="32"/>
    </row>
    <row r="214" spans="1:3" ht="15" x14ac:dyDescent="0.25">
      <c r="A214" s="32"/>
      <c r="B214" s="32"/>
      <c r="C214" s="32"/>
    </row>
    <row r="215" spans="1:3" ht="15" x14ac:dyDescent="0.25">
      <c r="A215" s="32"/>
      <c r="B215" s="32"/>
      <c r="C215" s="32"/>
    </row>
    <row r="216" spans="1:3" ht="15" x14ac:dyDescent="0.25">
      <c r="A216" s="32"/>
      <c r="B216" s="32"/>
      <c r="C216" s="32"/>
    </row>
    <row r="217" spans="1:3" ht="15" x14ac:dyDescent="0.25">
      <c r="A217" s="32"/>
      <c r="B217" s="32"/>
      <c r="C217" s="32"/>
    </row>
    <row r="218" spans="1:3" ht="15" x14ac:dyDescent="0.25">
      <c r="A218" s="32"/>
      <c r="B218" s="32"/>
      <c r="C218" s="32"/>
    </row>
    <row r="219" spans="1:3" ht="15" x14ac:dyDescent="0.25">
      <c r="A219" s="32"/>
      <c r="B219" s="32"/>
      <c r="C219" s="32"/>
    </row>
    <row r="220" spans="1:3" ht="15" x14ac:dyDescent="0.25">
      <c r="A220" s="32"/>
      <c r="B220" s="32"/>
      <c r="C220" s="32"/>
    </row>
    <row r="221" spans="1:3" ht="15" x14ac:dyDescent="0.25">
      <c r="A221" s="32"/>
      <c r="B221" s="32"/>
      <c r="C221" s="32"/>
    </row>
    <row r="222" spans="1:3" ht="15" x14ac:dyDescent="0.25">
      <c r="A222" s="32"/>
      <c r="B222" s="32"/>
      <c r="C222" s="32"/>
    </row>
    <row r="223" spans="1:3" ht="15" x14ac:dyDescent="0.25">
      <c r="A223" s="32"/>
      <c r="B223" s="32"/>
      <c r="C223" s="32"/>
    </row>
    <row r="224" spans="1:3" ht="15" x14ac:dyDescent="0.25">
      <c r="A224" s="32"/>
      <c r="B224" s="32"/>
      <c r="C224" s="32"/>
    </row>
    <row r="225" spans="1:3" ht="15" x14ac:dyDescent="0.25">
      <c r="A225" s="32"/>
      <c r="B225" s="32"/>
      <c r="C225" s="32"/>
    </row>
    <row r="226" spans="1:3" ht="15" x14ac:dyDescent="0.25">
      <c r="A226" s="32"/>
      <c r="B226" s="32"/>
      <c r="C226" s="32"/>
    </row>
    <row r="227" spans="1:3" ht="15" x14ac:dyDescent="0.25">
      <c r="A227" s="32"/>
      <c r="B227" s="32"/>
      <c r="C227" s="32"/>
    </row>
    <row r="228" spans="1:3" ht="15" x14ac:dyDescent="0.25">
      <c r="A228" s="32"/>
      <c r="B228" s="32"/>
      <c r="C228" s="32"/>
    </row>
    <row r="229" spans="1:3" ht="15" x14ac:dyDescent="0.25">
      <c r="A229" s="32"/>
      <c r="B229" s="32"/>
      <c r="C229" s="32"/>
    </row>
    <row r="230" spans="1:3" ht="15" x14ac:dyDescent="0.25">
      <c r="A230" s="32"/>
      <c r="B230" s="32"/>
      <c r="C230" s="32"/>
    </row>
    <row r="231" spans="1:3" ht="15" x14ac:dyDescent="0.25">
      <c r="A231" s="32"/>
      <c r="B231" s="32"/>
      <c r="C231" s="32"/>
    </row>
    <row r="232" spans="1:3" ht="15" x14ac:dyDescent="0.25">
      <c r="A232" s="32"/>
      <c r="B232" s="32"/>
      <c r="C232" s="32"/>
    </row>
    <row r="233" spans="1:3" ht="15" x14ac:dyDescent="0.25">
      <c r="A233" s="32"/>
      <c r="B233" s="32"/>
      <c r="C233" s="32"/>
    </row>
    <row r="234" spans="1:3" ht="15" x14ac:dyDescent="0.25">
      <c r="A234" s="32"/>
      <c r="B234" s="32"/>
      <c r="C234" s="32"/>
    </row>
    <row r="235" spans="1:3" ht="15" x14ac:dyDescent="0.25">
      <c r="A235" s="32"/>
      <c r="B235" s="32"/>
      <c r="C235" s="32"/>
    </row>
    <row r="236" spans="1:3" ht="15" x14ac:dyDescent="0.25">
      <c r="A236" s="32"/>
      <c r="B236" s="32"/>
      <c r="C236" s="32"/>
    </row>
    <row r="237" spans="1:3" ht="15" x14ac:dyDescent="0.25">
      <c r="A237" s="32"/>
      <c r="B237" s="32"/>
      <c r="C237" s="32"/>
    </row>
    <row r="238" spans="1:3" ht="15" x14ac:dyDescent="0.25">
      <c r="A238" s="32"/>
      <c r="B238" s="32"/>
      <c r="C238" s="32"/>
    </row>
    <row r="239" spans="1:3" ht="15" x14ac:dyDescent="0.25">
      <c r="A239" s="32"/>
      <c r="B239" s="32"/>
      <c r="C239" s="32"/>
    </row>
    <row r="240" spans="1:3" ht="15" x14ac:dyDescent="0.25">
      <c r="A240" s="32"/>
      <c r="B240" s="32"/>
      <c r="C240" s="32"/>
    </row>
    <row r="241" spans="1:3" ht="15" x14ac:dyDescent="0.25">
      <c r="A241" s="32"/>
      <c r="B241" s="32"/>
      <c r="C241" s="32"/>
    </row>
    <row r="242" spans="1:3" ht="15" x14ac:dyDescent="0.25">
      <c r="A242" s="32"/>
      <c r="B242" s="32"/>
      <c r="C242" s="32"/>
    </row>
    <row r="243" spans="1:3" ht="15" x14ac:dyDescent="0.25">
      <c r="A243" s="32"/>
      <c r="B243" s="32"/>
      <c r="C243" s="32"/>
    </row>
    <row r="244" spans="1:3" ht="15" x14ac:dyDescent="0.25">
      <c r="A244" s="32"/>
      <c r="B244" s="32"/>
      <c r="C244" s="32"/>
    </row>
    <row r="245" spans="1:3" ht="15" x14ac:dyDescent="0.25">
      <c r="A245" s="32"/>
      <c r="B245" s="32"/>
      <c r="C245" s="32"/>
    </row>
    <row r="246" spans="1:3" ht="15" x14ac:dyDescent="0.25">
      <c r="A246" s="32"/>
      <c r="B246" s="32"/>
      <c r="C246" s="32"/>
    </row>
    <row r="247" spans="1:3" ht="15" x14ac:dyDescent="0.25">
      <c r="A247" s="32"/>
      <c r="B247" s="32"/>
      <c r="C247" s="32"/>
    </row>
    <row r="248" spans="1:3" ht="15" x14ac:dyDescent="0.25">
      <c r="A248" s="32"/>
      <c r="B248" s="32"/>
      <c r="C248" s="32"/>
    </row>
    <row r="249" spans="1:3" ht="15" x14ac:dyDescent="0.25">
      <c r="A249" s="32"/>
      <c r="B249" s="32"/>
      <c r="C249" s="32"/>
    </row>
    <row r="250" spans="1:3" ht="15" x14ac:dyDescent="0.25">
      <c r="A250" s="32"/>
      <c r="B250" s="32"/>
      <c r="C250" s="32"/>
    </row>
    <row r="251" spans="1:3" ht="15" x14ac:dyDescent="0.25">
      <c r="A251" s="32"/>
      <c r="B251" s="32"/>
      <c r="C251" s="32"/>
    </row>
    <row r="252" spans="1:3" ht="15" x14ac:dyDescent="0.25">
      <c r="A252" s="32"/>
      <c r="B252" s="32"/>
      <c r="C252" s="32"/>
    </row>
    <row r="253" spans="1:3" ht="15" x14ac:dyDescent="0.25">
      <c r="A253" s="32"/>
      <c r="B253" s="32"/>
      <c r="C253" s="32"/>
    </row>
    <row r="254" spans="1:3" ht="15" x14ac:dyDescent="0.25">
      <c r="A254" s="32"/>
      <c r="B254" s="32"/>
      <c r="C254" s="32"/>
    </row>
    <row r="255" spans="1:3" ht="15" x14ac:dyDescent="0.25">
      <c r="A255" s="32"/>
      <c r="B255" s="32"/>
      <c r="C255" s="32"/>
    </row>
    <row r="256" spans="1:3" ht="15" x14ac:dyDescent="0.25">
      <c r="A256" s="32"/>
      <c r="B256" s="32"/>
      <c r="C256" s="32"/>
    </row>
    <row r="257" spans="1:3" ht="15" x14ac:dyDescent="0.25">
      <c r="A257" s="32"/>
      <c r="B257" s="32"/>
      <c r="C257" s="32"/>
    </row>
    <row r="258" spans="1:3" ht="15" x14ac:dyDescent="0.25">
      <c r="A258" s="32"/>
      <c r="B258" s="32"/>
      <c r="C258" s="32"/>
    </row>
    <row r="259" spans="1:3" ht="15" x14ac:dyDescent="0.25">
      <c r="A259" s="32"/>
      <c r="B259" s="32"/>
      <c r="C259" s="32"/>
    </row>
    <row r="260" spans="1:3" ht="15" x14ac:dyDescent="0.25">
      <c r="A260" s="32"/>
      <c r="B260" s="32"/>
      <c r="C260" s="32"/>
    </row>
    <row r="261" spans="1:3" ht="15" x14ac:dyDescent="0.25">
      <c r="A261" s="32"/>
      <c r="B261" s="32"/>
      <c r="C261" s="32"/>
    </row>
    <row r="262" spans="1:3" ht="15" x14ac:dyDescent="0.25">
      <c r="A262" s="32"/>
      <c r="B262" s="32"/>
      <c r="C262" s="32"/>
    </row>
    <row r="263" spans="1:3" ht="15" x14ac:dyDescent="0.25">
      <c r="A263" s="32"/>
      <c r="B263" s="32"/>
      <c r="C263" s="32"/>
    </row>
    <row r="264" spans="1:3" ht="15" x14ac:dyDescent="0.25">
      <c r="A264" s="32"/>
      <c r="B264" s="32"/>
      <c r="C264" s="32"/>
    </row>
    <row r="265" spans="1:3" ht="15" x14ac:dyDescent="0.25">
      <c r="A265" s="32"/>
      <c r="B265" s="32"/>
      <c r="C265" s="32"/>
    </row>
    <row r="266" spans="1:3" ht="15" x14ac:dyDescent="0.25">
      <c r="A266" s="32"/>
      <c r="B266" s="32"/>
      <c r="C266" s="32"/>
    </row>
    <row r="267" spans="1:3" ht="15" x14ac:dyDescent="0.25">
      <c r="A267" s="32"/>
      <c r="B267" s="32"/>
      <c r="C267" s="32"/>
    </row>
    <row r="268" spans="1:3" ht="15" x14ac:dyDescent="0.25">
      <c r="A268" s="32"/>
      <c r="B268" s="32"/>
      <c r="C268" s="32"/>
    </row>
    <row r="269" spans="1:3" ht="15" x14ac:dyDescent="0.25">
      <c r="A269" s="32"/>
      <c r="B269" s="32"/>
      <c r="C269" s="32"/>
    </row>
    <row r="270" spans="1:3" ht="15" x14ac:dyDescent="0.25">
      <c r="A270" s="32"/>
      <c r="B270" s="32"/>
      <c r="C270" s="32"/>
    </row>
    <row r="271" spans="1:3" ht="15" x14ac:dyDescent="0.25">
      <c r="A271" s="32"/>
      <c r="B271" s="32"/>
      <c r="C271" s="32"/>
    </row>
    <row r="272" spans="1:3" ht="15" x14ac:dyDescent="0.25">
      <c r="A272" s="32"/>
      <c r="B272" s="32"/>
      <c r="C272" s="32"/>
    </row>
    <row r="273" spans="1:3" ht="15" x14ac:dyDescent="0.25">
      <c r="A273" s="32"/>
      <c r="B273" s="32"/>
      <c r="C273" s="32"/>
    </row>
    <row r="274" spans="1:3" ht="15" x14ac:dyDescent="0.25">
      <c r="A274" s="32"/>
      <c r="B274" s="32"/>
      <c r="C274" s="32"/>
    </row>
    <row r="275" spans="1:3" ht="15" x14ac:dyDescent="0.25">
      <c r="A275" s="32"/>
      <c r="B275" s="32"/>
      <c r="C275" s="32"/>
    </row>
    <row r="276" spans="1:3" ht="15" x14ac:dyDescent="0.25">
      <c r="A276" s="32"/>
      <c r="B276" s="32"/>
      <c r="C276" s="32"/>
    </row>
    <row r="277" spans="1:3" ht="15" x14ac:dyDescent="0.25">
      <c r="A277" s="32"/>
      <c r="B277" s="32"/>
      <c r="C277" s="32"/>
    </row>
    <row r="278" spans="1:3" ht="15" x14ac:dyDescent="0.25">
      <c r="A278" s="32"/>
      <c r="B278" s="32"/>
      <c r="C278" s="32"/>
    </row>
    <row r="279" spans="1:3" ht="15" x14ac:dyDescent="0.25">
      <c r="A279" s="32"/>
      <c r="B279" s="32"/>
      <c r="C279" s="32"/>
    </row>
    <row r="280" spans="1:3" ht="15" x14ac:dyDescent="0.25">
      <c r="A280" s="32"/>
      <c r="B280" s="32"/>
      <c r="C280" s="32"/>
    </row>
    <row r="281" spans="1:3" ht="15" x14ac:dyDescent="0.25">
      <c r="A281" s="32"/>
      <c r="B281" s="32"/>
      <c r="C281" s="32"/>
    </row>
    <row r="282" spans="1:3" ht="15" x14ac:dyDescent="0.25">
      <c r="A282" s="32"/>
      <c r="B282" s="32"/>
      <c r="C282" s="32"/>
    </row>
    <row r="283" spans="1:3" ht="15" x14ac:dyDescent="0.25">
      <c r="A283" s="32"/>
      <c r="B283" s="32"/>
      <c r="C283" s="32"/>
    </row>
    <row r="284" spans="1:3" ht="15" x14ac:dyDescent="0.25">
      <c r="A284" s="32"/>
      <c r="B284" s="32"/>
      <c r="C284" s="32"/>
    </row>
    <row r="285" spans="1:3" ht="15" x14ac:dyDescent="0.25">
      <c r="A285" s="32"/>
      <c r="B285" s="32"/>
      <c r="C285" s="32"/>
    </row>
    <row r="286" spans="1:3" ht="15" x14ac:dyDescent="0.25">
      <c r="A286" s="32"/>
      <c r="B286" s="32"/>
      <c r="C286" s="32"/>
    </row>
    <row r="287" spans="1:3" ht="15" x14ac:dyDescent="0.25">
      <c r="A287" s="32"/>
      <c r="B287" s="32"/>
      <c r="C287" s="32"/>
    </row>
    <row r="288" spans="1:3" ht="15" x14ac:dyDescent="0.25">
      <c r="A288" s="32"/>
      <c r="B288" s="32"/>
      <c r="C288" s="32"/>
    </row>
    <row r="289" spans="1:3" ht="15" x14ac:dyDescent="0.25">
      <c r="A289" s="32"/>
      <c r="B289" s="32"/>
      <c r="C289" s="32"/>
    </row>
    <row r="290" spans="1:3" ht="15" x14ac:dyDescent="0.25">
      <c r="A290" s="32"/>
      <c r="B290" s="32"/>
      <c r="C290" s="32"/>
    </row>
    <row r="291" spans="1:3" ht="15" x14ac:dyDescent="0.25">
      <c r="A291" s="32"/>
      <c r="B291" s="32"/>
      <c r="C291" s="32"/>
    </row>
    <row r="292" spans="1:3" ht="15" x14ac:dyDescent="0.25">
      <c r="A292" s="32"/>
      <c r="B292" s="32"/>
      <c r="C292" s="32"/>
    </row>
    <row r="293" spans="1:3" ht="15" x14ac:dyDescent="0.25">
      <c r="A293" s="32"/>
      <c r="B293" s="32"/>
      <c r="C293" s="32"/>
    </row>
    <row r="294" spans="1:3" ht="15" x14ac:dyDescent="0.25">
      <c r="A294" s="32"/>
      <c r="B294" s="32"/>
      <c r="C294" s="32"/>
    </row>
    <row r="295" spans="1:3" ht="15" x14ac:dyDescent="0.25">
      <c r="A295" s="32"/>
      <c r="B295" s="32"/>
      <c r="C295" s="32"/>
    </row>
    <row r="296" spans="1:3" ht="15" x14ac:dyDescent="0.25">
      <c r="A296" s="32"/>
      <c r="B296" s="32"/>
      <c r="C296" s="32"/>
    </row>
    <row r="297" spans="1:3" ht="15" x14ac:dyDescent="0.25">
      <c r="A297" s="32"/>
      <c r="B297" s="32"/>
      <c r="C297" s="32"/>
    </row>
    <row r="298" spans="1:3" ht="15" x14ac:dyDescent="0.25">
      <c r="A298" s="32"/>
      <c r="B298" s="32"/>
      <c r="C298" s="32"/>
    </row>
    <row r="299" spans="1:3" ht="15" x14ac:dyDescent="0.25">
      <c r="A299" s="32"/>
      <c r="B299" s="32"/>
      <c r="C299" s="32"/>
    </row>
    <row r="300" spans="1:3" ht="15" x14ac:dyDescent="0.25">
      <c r="A300" s="32"/>
      <c r="B300" s="32"/>
      <c r="C300" s="32"/>
    </row>
    <row r="301" spans="1:3" ht="15" x14ac:dyDescent="0.25">
      <c r="A301" s="32"/>
      <c r="B301" s="32"/>
      <c r="C301" s="32"/>
    </row>
    <row r="302" spans="1:3" ht="15" x14ac:dyDescent="0.25">
      <c r="A302" s="32"/>
      <c r="B302" s="32"/>
      <c r="C302" s="32"/>
    </row>
    <row r="303" spans="1:3" ht="15" x14ac:dyDescent="0.25">
      <c r="A303" s="32"/>
      <c r="B303" s="32"/>
      <c r="C303" s="32"/>
    </row>
    <row r="304" spans="1:3" ht="15" x14ac:dyDescent="0.25">
      <c r="A304" s="32"/>
      <c r="B304" s="32"/>
      <c r="C304" s="32"/>
    </row>
    <row r="305" spans="1:3" ht="15" x14ac:dyDescent="0.25">
      <c r="A305" s="32"/>
      <c r="B305" s="32"/>
      <c r="C305" s="32"/>
    </row>
    <row r="306" spans="1:3" ht="15" x14ac:dyDescent="0.25">
      <c r="A306" s="32"/>
      <c r="B306" s="32"/>
      <c r="C306" s="32"/>
    </row>
    <row r="307" spans="1:3" ht="15" x14ac:dyDescent="0.25">
      <c r="A307" s="32"/>
      <c r="B307" s="32"/>
      <c r="C307" s="32"/>
    </row>
    <row r="308" spans="1:3" ht="15" x14ac:dyDescent="0.25">
      <c r="A308" s="32"/>
      <c r="B308" s="32"/>
      <c r="C308" s="32"/>
    </row>
    <row r="309" spans="1:3" ht="15" x14ac:dyDescent="0.25">
      <c r="A309" s="32"/>
      <c r="B309" s="32"/>
      <c r="C309" s="32"/>
    </row>
    <row r="310" spans="1:3" ht="15" x14ac:dyDescent="0.25">
      <c r="A310" s="32"/>
      <c r="B310" s="32"/>
      <c r="C310" s="32"/>
    </row>
    <row r="311" spans="1:3" ht="15" x14ac:dyDescent="0.25">
      <c r="A311" s="32"/>
      <c r="B311" s="32"/>
      <c r="C311" s="32"/>
    </row>
    <row r="312" spans="1:3" ht="15" x14ac:dyDescent="0.25">
      <c r="A312" s="32"/>
      <c r="B312" s="32"/>
      <c r="C312" s="32"/>
    </row>
    <row r="313" spans="1:3" ht="15" x14ac:dyDescent="0.25">
      <c r="A313" s="32"/>
      <c r="B313" s="32"/>
      <c r="C313" s="32"/>
    </row>
    <row r="314" spans="1:3" ht="15" x14ac:dyDescent="0.25">
      <c r="A314" s="32"/>
      <c r="B314" s="32"/>
      <c r="C314" s="32"/>
    </row>
    <row r="315" spans="1:3" ht="15" x14ac:dyDescent="0.25">
      <c r="A315" s="32"/>
      <c r="B315" s="32"/>
      <c r="C315" s="32"/>
    </row>
    <row r="316" spans="1:3" ht="15" x14ac:dyDescent="0.25">
      <c r="A316" s="32"/>
      <c r="B316" s="32"/>
      <c r="C316" s="32"/>
    </row>
    <row r="317" spans="1:3" ht="15" x14ac:dyDescent="0.25">
      <c r="A317" s="32"/>
      <c r="B317" s="32"/>
      <c r="C317" s="32"/>
    </row>
    <row r="318" spans="1:3" ht="15" x14ac:dyDescent="0.25">
      <c r="A318" s="32"/>
      <c r="B318" s="32"/>
      <c r="C318" s="32"/>
    </row>
    <row r="319" spans="1:3" ht="15" x14ac:dyDescent="0.25">
      <c r="A319" s="32"/>
      <c r="B319" s="32"/>
      <c r="C319" s="32"/>
    </row>
    <row r="320" spans="1:3" ht="15" x14ac:dyDescent="0.25">
      <c r="A320" s="32"/>
      <c r="B320" s="32"/>
      <c r="C320" s="32"/>
    </row>
    <row r="321" spans="1:3" ht="15" x14ac:dyDescent="0.25">
      <c r="A321" s="32"/>
      <c r="B321" s="32"/>
      <c r="C321" s="32"/>
    </row>
    <row r="322" spans="1:3" ht="15" x14ac:dyDescent="0.25">
      <c r="A322" s="32"/>
      <c r="B322" s="32"/>
      <c r="C322" s="32"/>
    </row>
    <row r="323" spans="1:3" ht="15" x14ac:dyDescent="0.25">
      <c r="A323" s="32"/>
      <c r="B323" s="32"/>
      <c r="C323" s="32"/>
    </row>
    <row r="324" spans="1:3" ht="15" x14ac:dyDescent="0.25">
      <c r="A324" s="32"/>
      <c r="B324" s="32"/>
      <c r="C324" s="32"/>
    </row>
    <row r="325" spans="1:3" ht="15" x14ac:dyDescent="0.25">
      <c r="A325" s="32"/>
      <c r="B325" s="32"/>
      <c r="C325" s="32"/>
    </row>
    <row r="326" spans="1:3" ht="15" x14ac:dyDescent="0.25">
      <c r="A326" s="32"/>
      <c r="B326" s="32"/>
      <c r="C326" s="32"/>
    </row>
    <row r="327" spans="1:3" ht="15" x14ac:dyDescent="0.25">
      <c r="A327" s="32"/>
      <c r="B327" s="32"/>
      <c r="C327" s="32"/>
    </row>
    <row r="328" spans="1:3" ht="15" x14ac:dyDescent="0.25">
      <c r="A328" s="32"/>
      <c r="B328" s="32"/>
      <c r="C328" s="32"/>
    </row>
    <row r="329" spans="1:3" ht="15" x14ac:dyDescent="0.25">
      <c r="A329" s="32"/>
      <c r="B329" s="32"/>
      <c r="C329" s="32"/>
    </row>
    <row r="330" spans="1:3" ht="15" x14ac:dyDescent="0.25">
      <c r="A330" s="32"/>
      <c r="B330" s="32"/>
      <c r="C330" s="32"/>
    </row>
    <row r="331" spans="1:3" ht="15" x14ac:dyDescent="0.25">
      <c r="A331" s="32"/>
      <c r="B331" s="32"/>
      <c r="C331" s="32"/>
    </row>
    <row r="332" spans="1:3" ht="15" x14ac:dyDescent="0.25">
      <c r="A332" s="32"/>
      <c r="B332" s="32"/>
      <c r="C332" s="32"/>
    </row>
    <row r="333" spans="1:3" ht="15" x14ac:dyDescent="0.25">
      <c r="A333" s="32"/>
      <c r="B333" s="32"/>
      <c r="C333" s="32"/>
    </row>
    <row r="334" spans="1:3" ht="15" x14ac:dyDescent="0.25">
      <c r="A334" s="32"/>
      <c r="B334" s="32"/>
      <c r="C334" s="32"/>
    </row>
    <row r="335" spans="1:3" ht="15" x14ac:dyDescent="0.25">
      <c r="A335" s="32"/>
      <c r="B335" s="32"/>
      <c r="C335" s="32"/>
    </row>
    <row r="336" spans="1:3" ht="15" x14ac:dyDescent="0.25">
      <c r="A336" s="32"/>
      <c r="B336" s="32"/>
      <c r="C336" s="32"/>
    </row>
    <row r="337" spans="1:3" ht="15" x14ac:dyDescent="0.25">
      <c r="A337" s="32"/>
      <c r="B337" s="32"/>
      <c r="C337" s="32"/>
    </row>
    <row r="338" spans="1:3" ht="15" x14ac:dyDescent="0.25">
      <c r="A338" s="32"/>
      <c r="B338" s="32"/>
      <c r="C338" s="32"/>
    </row>
    <row r="339" spans="1:3" ht="15" x14ac:dyDescent="0.25">
      <c r="A339" s="32"/>
      <c r="B339" s="32"/>
      <c r="C339" s="32"/>
    </row>
    <row r="340" spans="1:3" ht="15" x14ac:dyDescent="0.25">
      <c r="A340" s="32"/>
      <c r="B340" s="32"/>
      <c r="C340" s="32"/>
    </row>
    <row r="341" spans="1:3" ht="15" x14ac:dyDescent="0.25">
      <c r="A341" s="32"/>
      <c r="B341" s="32"/>
      <c r="C341" s="32"/>
    </row>
    <row r="342" spans="1:3" ht="15" x14ac:dyDescent="0.25">
      <c r="A342" s="32"/>
      <c r="B342" s="32"/>
      <c r="C342" s="32"/>
    </row>
    <row r="343" spans="1:3" ht="15" x14ac:dyDescent="0.25">
      <c r="A343" s="32"/>
      <c r="B343" s="32"/>
      <c r="C343" s="32"/>
    </row>
    <row r="344" spans="1:3" ht="15" x14ac:dyDescent="0.25">
      <c r="A344" s="32"/>
      <c r="B344" s="32"/>
      <c r="C344" s="32"/>
    </row>
    <row r="345" spans="1:3" ht="15" x14ac:dyDescent="0.25">
      <c r="A345" s="32"/>
      <c r="B345" s="32"/>
      <c r="C345" s="32"/>
    </row>
    <row r="346" spans="1:3" ht="15" x14ac:dyDescent="0.25">
      <c r="A346" s="32"/>
      <c r="B346" s="32"/>
      <c r="C346" s="32"/>
    </row>
    <row r="347" spans="1:3" ht="15" x14ac:dyDescent="0.25">
      <c r="A347" s="32"/>
      <c r="B347" s="32"/>
      <c r="C347" s="32"/>
    </row>
    <row r="348" spans="1:3" ht="15" x14ac:dyDescent="0.25">
      <c r="A348" s="32"/>
      <c r="B348" s="32"/>
      <c r="C348" s="32"/>
    </row>
    <row r="349" spans="1:3" ht="15" x14ac:dyDescent="0.25">
      <c r="A349" s="32"/>
      <c r="B349" s="32"/>
      <c r="C349" s="32"/>
    </row>
    <row r="350" spans="1:3" ht="15" x14ac:dyDescent="0.25">
      <c r="A350" s="32"/>
      <c r="B350" s="32"/>
      <c r="C350" s="32"/>
    </row>
    <row r="351" spans="1:3" ht="15" x14ac:dyDescent="0.25">
      <c r="A351" s="32"/>
      <c r="B351" s="32"/>
      <c r="C351" s="32"/>
    </row>
    <row r="352" spans="1:3" ht="15" x14ac:dyDescent="0.25">
      <c r="A352" s="32"/>
      <c r="B352" s="32"/>
      <c r="C352" s="32"/>
    </row>
    <row r="353" spans="1:3" ht="15" x14ac:dyDescent="0.25">
      <c r="A353" s="32"/>
      <c r="B353" s="32"/>
      <c r="C353" s="32"/>
    </row>
    <row r="354" spans="1:3" ht="15" x14ac:dyDescent="0.25">
      <c r="A354" s="32"/>
      <c r="B354" s="32"/>
      <c r="C354" s="32"/>
    </row>
    <row r="355" spans="1:3" ht="15" x14ac:dyDescent="0.25">
      <c r="A355" s="32"/>
      <c r="B355" s="32"/>
      <c r="C355" s="32"/>
    </row>
    <row r="356" spans="1:3" ht="15" x14ac:dyDescent="0.25">
      <c r="A356" s="32"/>
      <c r="B356" s="32"/>
      <c r="C356" s="32"/>
    </row>
    <row r="357" spans="1:3" ht="15" x14ac:dyDescent="0.25">
      <c r="A357" s="32"/>
      <c r="B357" s="32"/>
      <c r="C357" s="32"/>
    </row>
    <row r="358" spans="1:3" ht="15" x14ac:dyDescent="0.25">
      <c r="A358" s="32"/>
      <c r="B358" s="32"/>
      <c r="C358" s="32"/>
    </row>
    <row r="359" spans="1:3" ht="15" x14ac:dyDescent="0.25">
      <c r="A359" s="32"/>
      <c r="B359" s="32"/>
      <c r="C359" s="32"/>
    </row>
    <row r="360" spans="1:3" ht="15" x14ac:dyDescent="0.25">
      <c r="A360" s="32"/>
      <c r="B360" s="32"/>
      <c r="C360" s="32"/>
    </row>
    <row r="361" spans="1:3" ht="15" x14ac:dyDescent="0.25">
      <c r="A361" s="32"/>
      <c r="B361" s="32"/>
      <c r="C361" s="32"/>
    </row>
    <row r="362" spans="1:3" ht="15" x14ac:dyDescent="0.25">
      <c r="A362" s="32"/>
      <c r="B362" s="32"/>
      <c r="C362" s="32"/>
    </row>
    <row r="363" spans="1:3" ht="15" x14ac:dyDescent="0.25">
      <c r="A363" s="32"/>
      <c r="B363" s="32"/>
      <c r="C363" s="32"/>
    </row>
    <row r="364" spans="1:3" ht="15" x14ac:dyDescent="0.25">
      <c r="A364" s="32"/>
      <c r="B364" s="32"/>
      <c r="C364" s="32"/>
    </row>
    <row r="365" spans="1:3" ht="15" x14ac:dyDescent="0.25">
      <c r="A365" s="32"/>
      <c r="B365" s="32"/>
      <c r="C365" s="32"/>
    </row>
    <row r="366" spans="1:3" ht="15" x14ac:dyDescent="0.25">
      <c r="A366" s="32"/>
      <c r="B366" s="32"/>
      <c r="C366" s="32"/>
    </row>
    <row r="367" spans="1:3" ht="15" x14ac:dyDescent="0.25">
      <c r="A367" s="32"/>
      <c r="B367" s="32"/>
      <c r="C367" s="32"/>
    </row>
    <row r="368" spans="1:3" ht="15" x14ac:dyDescent="0.25">
      <c r="A368" s="32"/>
      <c r="B368" s="32"/>
      <c r="C368" s="32"/>
    </row>
    <row r="369" spans="1:3" ht="15" x14ac:dyDescent="0.25">
      <c r="A369" s="32"/>
      <c r="B369" s="32"/>
      <c r="C369" s="32"/>
    </row>
    <row r="370" spans="1:3" ht="15" x14ac:dyDescent="0.25">
      <c r="A370" s="32"/>
      <c r="B370" s="32"/>
      <c r="C370" s="32"/>
    </row>
    <row r="371" spans="1:3" ht="15" x14ac:dyDescent="0.25">
      <c r="A371" s="32"/>
      <c r="B371" s="32"/>
      <c r="C371" s="32"/>
    </row>
    <row r="372" spans="1:3" ht="15" x14ac:dyDescent="0.25">
      <c r="A372" s="32"/>
      <c r="B372" s="32"/>
      <c r="C372" s="32"/>
    </row>
    <row r="373" spans="1:3" ht="15" x14ac:dyDescent="0.25">
      <c r="A373" s="32"/>
      <c r="B373" s="32"/>
      <c r="C373" s="32"/>
    </row>
    <row r="374" spans="1:3" ht="15" x14ac:dyDescent="0.25">
      <c r="A374" s="32"/>
      <c r="B374" s="32"/>
      <c r="C374" s="32"/>
    </row>
    <row r="375" spans="1:3" ht="15" x14ac:dyDescent="0.25">
      <c r="A375" s="32"/>
      <c r="B375" s="32"/>
      <c r="C375" s="32"/>
    </row>
    <row r="376" spans="1:3" ht="15" x14ac:dyDescent="0.25">
      <c r="A376" s="32"/>
      <c r="B376" s="32"/>
      <c r="C376" s="32"/>
    </row>
    <row r="377" spans="1:3" ht="15" x14ac:dyDescent="0.25">
      <c r="A377" s="32"/>
      <c r="B377" s="32"/>
      <c r="C377" s="32"/>
    </row>
    <row r="378" spans="1:3" ht="15" x14ac:dyDescent="0.25">
      <c r="A378" s="32"/>
      <c r="B378" s="32"/>
      <c r="C378" s="32"/>
    </row>
    <row r="379" spans="1:3" ht="15" x14ac:dyDescent="0.25">
      <c r="A379" s="32"/>
      <c r="B379" s="32"/>
      <c r="C379" s="32"/>
    </row>
    <row r="380" spans="1:3" ht="15" x14ac:dyDescent="0.25">
      <c r="A380" s="32"/>
      <c r="B380" s="32"/>
      <c r="C380" s="32"/>
    </row>
    <row r="381" spans="1:3" ht="15" x14ac:dyDescent="0.25">
      <c r="A381" s="32"/>
      <c r="B381" s="32"/>
      <c r="C381" s="32"/>
    </row>
    <row r="382" spans="1:3" ht="15" x14ac:dyDescent="0.25">
      <c r="A382" s="32"/>
      <c r="B382" s="32"/>
      <c r="C382" s="32"/>
    </row>
    <row r="383" spans="1:3" ht="15" x14ac:dyDescent="0.25">
      <c r="A383" s="32"/>
      <c r="B383" s="32"/>
      <c r="C383" s="32"/>
    </row>
    <row r="384" spans="1:3" ht="15" x14ac:dyDescent="0.25">
      <c r="A384" s="32"/>
      <c r="B384" s="32"/>
      <c r="C384" s="32"/>
    </row>
    <row r="385" spans="1:3" ht="15" x14ac:dyDescent="0.25">
      <c r="A385" s="32"/>
      <c r="B385" s="32"/>
      <c r="C385" s="32"/>
    </row>
    <row r="386" spans="1:3" ht="15" x14ac:dyDescent="0.25">
      <c r="A386" s="32"/>
      <c r="B386" s="32"/>
      <c r="C386" s="32"/>
    </row>
    <row r="387" spans="1:3" ht="15" x14ac:dyDescent="0.25">
      <c r="A387" s="32"/>
      <c r="B387" s="32"/>
      <c r="C387" s="32"/>
    </row>
    <row r="388" spans="1:3" ht="15" x14ac:dyDescent="0.25">
      <c r="A388" s="32"/>
      <c r="B388" s="32"/>
      <c r="C388" s="32"/>
    </row>
    <row r="389" spans="1:3" ht="15" x14ac:dyDescent="0.25">
      <c r="A389" s="32"/>
      <c r="B389" s="32"/>
      <c r="C389" s="32"/>
    </row>
    <row r="390" spans="1:3" ht="15" x14ac:dyDescent="0.25">
      <c r="A390" s="32"/>
      <c r="B390" s="32"/>
      <c r="C390" s="32"/>
    </row>
    <row r="391" spans="1:3" ht="15" x14ac:dyDescent="0.25">
      <c r="A391" s="32"/>
      <c r="B391" s="32"/>
      <c r="C391" s="32"/>
    </row>
    <row r="392" spans="1:3" ht="15" x14ac:dyDescent="0.25">
      <c r="A392" s="32"/>
      <c r="B392" s="32"/>
      <c r="C392" s="32"/>
    </row>
    <row r="393" spans="1:3" ht="15" x14ac:dyDescent="0.25">
      <c r="A393" s="32"/>
      <c r="B393" s="32"/>
      <c r="C393" s="32"/>
    </row>
    <row r="394" spans="1:3" ht="15" x14ac:dyDescent="0.25">
      <c r="A394" s="32"/>
      <c r="B394" s="32"/>
      <c r="C394" s="32"/>
    </row>
    <row r="395" spans="1:3" ht="15" x14ac:dyDescent="0.25">
      <c r="A395" s="32"/>
      <c r="B395" s="32"/>
      <c r="C395" s="32"/>
    </row>
    <row r="396" spans="1:3" ht="15" x14ac:dyDescent="0.25">
      <c r="A396" s="32"/>
      <c r="B396" s="32"/>
      <c r="C396" s="32"/>
    </row>
    <row r="397" spans="1:3" ht="15" x14ac:dyDescent="0.25">
      <c r="A397" s="32"/>
      <c r="B397" s="32"/>
      <c r="C397" s="32"/>
    </row>
    <row r="398" spans="1:3" ht="15" x14ac:dyDescent="0.25">
      <c r="A398" s="32"/>
      <c r="B398" s="32"/>
      <c r="C398" s="32"/>
    </row>
    <row r="399" spans="1:3" ht="15" x14ac:dyDescent="0.25">
      <c r="A399" s="32"/>
      <c r="B399" s="32"/>
      <c r="C399" s="32"/>
    </row>
    <row r="400" spans="1:3" ht="15" x14ac:dyDescent="0.25">
      <c r="A400" s="32"/>
      <c r="B400" s="32"/>
      <c r="C400" s="32"/>
    </row>
    <row r="401" spans="1:3" ht="15" x14ac:dyDescent="0.25">
      <c r="A401" s="32"/>
      <c r="B401" s="32"/>
      <c r="C401" s="32"/>
    </row>
    <row r="402" spans="1:3" ht="15" x14ac:dyDescent="0.25">
      <c r="A402" s="32"/>
      <c r="B402" s="32"/>
      <c r="C402" s="32"/>
    </row>
    <row r="403" spans="1:3" ht="15" x14ac:dyDescent="0.25">
      <c r="A403" s="32"/>
      <c r="B403" s="32"/>
      <c r="C403" s="32"/>
    </row>
    <row r="404" spans="1:3" ht="15" x14ac:dyDescent="0.25">
      <c r="A404" s="32"/>
      <c r="B404" s="32"/>
      <c r="C404" s="32"/>
    </row>
    <row r="405" spans="1:3" ht="15" x14ac:dyDescent="0.25">
      <c r="A405" s="32"/>
      <c r="B405" s="32"/>
      <c r="C405" s="32"/>
    </row>
    <row r="406" spans="1:3" ht="15" x14ac:dyDescent="0.25">
      <c r="A406" s="32"/>
      <c r="B406" s="32"/>
      <c r="C406" s="32"/>
    </row>
    <row r="407" spans="1:3" ht="15" x14ac:dyDescent="0.25">
      <c r="A407" s="32"/>
      <c r="B407" s="32"/>
      <c r="C407" s="32"/>
    </row>
    <row r="408" spans="1:3" ht="15" x14ac:dyDescent="0.25">
      <c r="A408" s="32"/>
      <c r="B408" s="32"/>
      <c r="C408" s="32"/>
    </row>
    <row r="409" spans="1:3" ht="15" x14ac:dyDescent="0.25">
      <c r="A409" s="32"/>
      <c r="B409" s="32"/>
      <c r="C409" s="32"/>
    </row>
    <row r="410" spans="1:3" ht="15" x14ac:dyDescent="0.25">
      <c r="A410" s="32"/>
      <c r="B410" s="32"/>
      <c r="C410" s="32"/>
    </row>
    <row r="411" spans="1:3" ht="15" x14ac:dyDescent="0.25">
      <c r="A411" s="32"/>
      <c r="B411" s="32"/>
      <c r="C411" s="32"/>
    </row>
    <row r="412" spans="1:3" ht="15" x14ac:dyDescent="0.25">
      <c r="A412" s="32"/>
      <c r="B412" s="32"/>
      <c r="C412" s="32"/>
    </row>
    <row r="413" spans="1:3" ht="15" x14ac:dyDescent="0.25">
      <c r="A413" s="32"/>
      <c r="B413" s="32"/>
      <c r="C413" s="32"/>
    </row>
    <row r="414" spans="1:3" ht="15" x14ac:dyDescent="0.25">
      <c r="A414" s="32"/>
      <c r="B414" s="32"/>
      <c r="C414" s="32"/>
    </row>
    <row r="415" spans="1:3" ht="15" x14ac:dyDescent="0.25">
      <c r="A415" s="32"/>
      <c r="B415" s="32"/>
      <c r="C415" s="32"/>
    </row>
    <row r="416" spans="1:3" ht="15" x14ac:dyDescent="0.25">
      <c r="A416" s="32"/>
      <c r="B416" s="32"/>
      <c r="C416" s="32"/>
    </row>
    <row r="417" spans="1:3" ht="15" x14ac:dyDescent="0.25">
      <c r="A417" s="32"/>
      <c r="B417" s="32"/>
      <c r="C417" s="32"/>
    </row>
    <row r="418" spans="1:3" ht="15" x14ac:dyDescent="0.25">
      <c r="A418" s="32"/>
      <c r="B418" s="32"/>
      <c r="C418" s="32"/>
    </row>
    <row r="419" spans="1:3" ht="15" x14ac:dyDescent="0.25">
      <c r="A419" s="32"/>
      <c r="B419" s="32"/>
      <c r="C419" s="32"/>
    </row>
    <row r="420" spans="1:3" ht="15" x14ac:dyDescent="0.25">
      <c r="A420" s="32"/>
      <c r="B420" s="32"/>
      <c r="C420" s="32"/>
    </row>
    <row r="421" spans="1:3" ht="15" x14ac:dyDescent="0.25">
      <c r="A421" s="32"/>
      <c r="B421" s="32"/>
      <c r="C421" s="32"/>
    </row>
    <row r="422" spans="1:3" ht="15" x14ac:dyDescent="0.25">
      <c r="A422" s="32"/>
      <c r="B422" s="32"/>
      <c r="C422" s="32"/>
    </row>
    <row r="423" spans="1:3" ht="15" x14ac:dyDescent="0.25">
      <c r="A423" s="32"/>
      <c r="B423" s="32"/>
      <c r="C423" s="32"/>
    </row>
    <row r="424" spans="1:3" ht="15" x14ac:dyDescent="0.25">
      <c r="A424" s="32"/>
      <c r="B424" s="32"/>
      <c r="C424" s="32"/>
    </row>
    <row r="425" spans="1:3" ht="15" x14ac:dyDescent="0.25">
      <c r="A425" s="32"/>
      <c r="B425" s="32"/>
      <c r="C425" s="32"/>
    </row>
    <row r="426" spans="1:3" ht="15" x14ac:dyDescent="0.25">
      <c r="A426" s="32"/>
      <c r="B426" s="32"/>
      <c r="C426" s="32"/>
    </row>
    <row r="427" spans="1:3" ht="15" x14ac:dyDescent="0.25">
      <c r="A427" s="32"/>
      <c r="B427" s="32"/>
      <c r="C427" s="32"/>
    </row>
    <row r="428" spans="1:3" ht="15" x14ac:dyDescent="0.25">
      <c r="A428" s="32"/>
      <c r="B428" s="32"/>
      <c r="C428" s="32"/>
    </row>
    <row r="429" spans="1:3" ht="15" x14ac:dyDescent="0.25">
      <c r="A429" s="32"/>
      <c r="B429" s="32"/>
      <c r="C429" s="32"/>
    </row>
    <row r="430" spans="1:3" ht="15" x14ac:dyDescent="0.25">
      <c r="A430" s="32"/>
      <c r="B430" s="32"/>
      <c r="C430" s="32"/>
    </row>
    <row r="431" spans="1:3" ht="15" x14ac:dyDescent="0.25">
      <c r="A431" s="32"/>
      <c r="B431" s="32"/>
      <c r="C431" s="32"/>
    </row>
    <row r="432" spans="1:3" ht="15" x14ac:dyDescent="0.25">
      <c r="A432" s="32"/>
      <c r="B432" s="32"/>
      <c r="C432" s="32"/>
    </row>
    <row r="433" spans="1:3" ht="15" x14ac:dyDescent="0.25">
      <c r="A433" s="32"/>
      <c r="B433" s="32"/>
      <c r="C433" s="32"/>
    </row>
    <row r="434" spans="1:3" ht="15" x14ac:dyDescent="0.25">
      <c r="A434" s="32"/>
      <c r="B434" s="32"/>
      <c r="C434" s="32"/>
    </row>
    <row r="435" spans="1:3" ht="15" x14ac:dyDescent="0.25">
      <c r="A435" s="32"/>
      <c r="B435" s="32"/>
      <c r="C435" s="32"/>
    </row>
    <row r="436" spans="1:3" ht="15" x14ac:dyDescent="0.25">
      <c r="A436" s="32"/>
      <c r="B436" s="32"/>
      <c r="C436" s="32"/>
    </row>
    <row r="437" spans="1:3" ht="15" x14ac:dyDescent="0.25">
      <c r="A437" s="32"/>
      <c r="B437" s="32"/>
      <c r="C437" s="32"/>
    </row>
    <row r="438" spans="1:3" ht="15" x14ac:dyDescent="0.25">
      <c r="A438" s="32"/>
      <c r="B438" s="32"/>
      <c r="C438" s="32"/>
    </row>
    <row r="439" spans="1:3" ht="15" x14ac:dyDescent="0.25">
      <c r="A439" s="32"/>
      <c r="B439" s="32"/>
      <c r="C439" s="32"/>
    </row>
    <row r="440" spans="1:3" ht="15" x14ac:dyDescent="0.25">
      <c r="A440" s="32"/>
      <c r="B440" s="32"/>
      <c r="C440" s="32"/>
    </row>
    <row r="441" spans="1:3" ht="15" x14ac:dyDescent="0.25">
      <c r="A441" s="32"/>
      <c r="B441" s="32"/>
      <c r="C441" s="32"/>
    </row>
    <row r="442" spans="1:3" ht="15" x14ac:dyDescent="0.25">
      <c r="A442" s="32"/>
      <c r="B442" s="32"/>
      <c r="C442" s="32"/>
    </row>
    <row r="443" spans="1:3" ht="15" x14ac:dyDescent="0.25">
      <c r="A443" s="32"/>
      <c r="B443" s="32"/>
      <c r="C443" s="32"/>
    </row>
    <row r="444" spans="1:3" ht="15" x14ac:dyDescent="0.25">
      <c r="A444" s="32"/>
      <c r="B444" s="32"/>
      <c r="C444" s="32"/>
    </row>
    <row r="445" spans="1:3" ht="15" x14ac:dyDescent="0.25">
      <c r="A445" s="32"/>
      <c r="B445" s="32"/>
      <c r="C445" s="32"/>
    </row>
    <row r="446" spans="1:3" ht="15" x14ac:dyDescent="0.25">
      <c r="A446" s="32"/>
      <c r="B446" s="32"/>
      <c r="C446" s="32"/>
    </row>
    <row r="447" spans="1:3" ht="15" x14ac:dyDescent="0.25">
      <c r="A447" s="32"/>
      <c r="B447" s="32"/>
      <c r="C447" s="32"/>
    </row>
    <row r="448" spans="1:3" ht="15" x14ac:dyDescent="0.25">
      <c r="A448" s="32"/>
      <c r="B448" s="32"/>
      <c r="C448" s="32"/>
    </row>
    <row r="449" spans="1:3" ht="15" x14ac:dyDescent="0.25">
      <c r="A449" s="32"/>
      <c r="B449" s="32"/>
      <c r="C449" s="32"/>
    </row>
    <row r="450" spans="1:3" ht="15" x14ac:dyDescent="0.25">
      <c r="A450" s="32"/>
      <c r="B450" s="32"/>
      <c r="C450" s="32"/>
    </row>
    <row r="451" spans="1:3" ht="15" x14ac:dyDescent="0.25">
      <c r="A451" s="32"/>
      <c r="B451" s="32"/>
      <c r="C451" s="32"/>
    </row>
    <row r="452" spans="1:3" ht="15" x14ac:dyDescent="0.25">
      <c r="A452" s="32"/>
      <c r="B452" s="32"/>
      <c r="C452" s="32"/>
    </row>
    <row r="453" spans="1:3" ht="15" x14ac:dyDescent="0.25">
      <c r="A453" s="32"/>
      <c r="B453" s="32"/>
      <c r="C453" s="32"/>
    </row>
    <row r="454" spans="1:3" ht="15" x14ac:dyDescent="0.25">
      <c r="A454" s="32"/>
      <c r="B454" s="32"/>
      <c r="C454" s="32"/>
    </row>
    <row r="455" spans="1:3" ht="15" x14ac:dyDescent="0.25">
      <c r="A455" s="32"/>
      <c r="B455" s="32"/>
      <c r="C455" s="32"/>
    </row>
    <row r="456" spans="1:3" ht="15" x14ac:dyDescent="0.25">
      <c r="A456" s="32"/>
      <c r="B456" s="32"/>
      <c r="C456" s="32"/>
    </row>
    <row r="457" spans="1:3" ht="15" x14ac:dyDescent="0.25">
      <c r="A457" s="32"/>
      <c r="B457" s="32"/>
      <c r="C457" s="32"/>
    </row>
    <row r="458" spans="1:3" ht="15" x14ac:dyDescent="0.25">
      <c r="A458" s="32"/>
      <c r="B458" s="32"/>
      <c r="C458" s="32"/>
    </row>
    <row r="459" spans="1:3" ht="15" x14ac:dyDescent="0.25">
      <c r="A459" s="32"/>
      <c r="B459" s="32"/>
      <c r="C459" s="32"/>
    </row>
    <row r="460" spans="1:3" ht="15" x14ac:dyDescent="0.25">
      <c r="A460" s="32"/>
      <c r="B460" s="32"/>
      <c r="C460" s="32"/>
    </row>
    <row r="461" spans="1:3" ht="15" x14ac:dyDescent="0.25">
      <c r="A461" s="32"/>
      <c r="B461" s="32"/>
      <c r="C461" s="32"/>
    </row>
    <row r="462" spans="1:3" ht="15" x14ac:dyDescent="0.25">
      <c r="A462" s="32"/>
      <c r="B462" s="32"/>
      <c r="C462" s="32"/>
    </row>
    <row r="463" spans="1:3" ht="15" x14ac:dyDescent="0.25">
      <c r="A463" s="32"/>
      <c r="B463" s="32"/>
      <c r="C463" s="32"/>
    </row>
    <row r="464" spans="1:3" ht="15" x14ac:dyDescent="0.25">
      <c r="A464" s="32"/>
      <c r="B464" s="32"/>
      <c r="C464" s="32"/>
    </row>
    <row r="465" spans="1:3" ht="15" x14ac:dyDescent="0.25">
      <c r="A465" s="32"/>
      <c r="B465" s="32"/>
      <c r="C465" s="32"/>
    </row>
    <row r="466" spans="1:3" ht="15" x14ac:dyDescent="0.25">
      <c r="A466" s="32"/>
      <c r="B466" s="32"/>
      <c r="C466" s="32"/>
    </row>
    <row r="467" spans="1:3" ht="15" x14ac:dyDescent="0.25">
      <c r="A467" s="32"/>
      <c r="B467" s="32"/>
      <c r="C467" s="32"/>
    </row>
    <row r="468" spans="1:3" ht="15" x14ac:dyDescent="0.25">
      <c r="A468" s="32"/>
      <c r="B468" s="32"/>
      <c r="C468" s="32"/>
    </row>
    <row r="469" spans="1:3" ht="15" x14ac:dyDescent="0.25">
      <c r="A469" s="32"/>
      <c r="B469" s="32"/>
      <c r="C469" s="32"/>
    </row>
    <row r="470" spans="1:3" ht="15" x14ac:dyDescent="0.25">
      <c r="A470" s="32"/>
      <c r="B470" s="32"/>
      <c r="C470" s="32"/>
    </row>
    <row r="471" spans="1:3" ht="15" x14ac:dyDescent="0.25">
      <c r="A471" s="32"/>
      <c r="B471" s="32"/>
      <c r="C471" s="32"/>
    </row>
    <row r="472" spans="1:3" ht="15" x14ac:dyDescent="0.25">
      <c r="A472" s="32"/>
      <c r="B472" s="32"/>
      <c r="C472" s="32"/>
    </row>
    <row r="473" spans="1:3" ht="15" x14ac:dyDescent="0.25">
      <c r="A473" s="32"/>
      <c r="B473" s="32"/>
      <c r="C473" s="32"/>
    </row>
    <row r="474" spans="1:3" ht="15" x14ac:dyDescent="0.25">
      <c r="A474" s="32"/>
      <c r="B474" s="32"/>
      <c r="C474" s="32"/>
    </row>
    <row r="475" spans="1:3" ht="15" x14ac:dyDescent="0.25">
      <c r="A475" s="32"/>
      <c r="B475" s="32"/>
      <c r="C475" s="32"/>
    </row>
    <row r="476" spans="1:3" ht="15" x14ac:dyDescent="0.25">
      <c r="A476" s="32"/>
      <c r="B476" s="32"/>
      <c r="C476" s="32"/>
    </row>
    <row r="477" spans="1:3" ht="15" x14ac:dyDescent="0.25">
      <c r="A477" s="32"/>
      <c r="B477" s="32"/>
      <c r="C477" s="32"/>
    </row>
    <row r="478" spans="1:3" ht="15" x14ac:dyDescent="0.25">
      <c r="A478" s="32"/>
      <c r="B478" s="32"/>
      <c r="C478" s="32"/>
    </row>
    <row r="479" spans="1:3" ht="15" x14ac:dyDescent="0.25">
      <c r="A479" s="32"/>
      <c r="B479" s="32"/>
      <c r="C479" s="32"/>
    </row>
    <row r="480" spans="1:3" ht="15" x14ac:dyDescent="0.25">
      <c r="A480" s="32"/>
      <c r="B480" s="32"/>
      <c r="C480" s="32"/>
    </row>
    <row r="481" spans="1:3" ht="15" x14ac:dyDescent="0.25">
      <c r="A481" s="32"/>
      <c r="B481" s="32"/>
      <c r="C481" s="32"/>
    </row>
    <row r="482" spans="1:3" ht="15" x14ac:dyDescent="0.25">
      <c r="A482" s="32"/>
      <c r="B482" s="32"/>
      <c r="C482" s="32"/>
    </row>
    <row r="483" spans="1:3" ht="15" x14ac:dyDescent="0.25">
      <c r="A483" s="32"/>
      <c r="B483" s="32"/>
      <c r="C483" s="32"/>
    </row>
    <row r="484" spans="1:3" ht="15" x14ac:dyDescent="0.25">
      <c r="A484" s="32"/>
      <c r="B484" s="32"/>
      <c r="C484" s="32"/>
    </row>
    <row r="485" spans="1:3" ht="15" x14ac:dyDescent="0.25">
      <c r="A485" s="32"/>
      <c r="B485" s="32"/>
      <c r="C485" s="32"/>
    </row>
    <row r="486" spans="1:3" ht="15" x14ac:dyDescent="0.25">
      <c r="A486" s="32"/>
      <c r="B486" s="32"/>
      <c r="C486" s="32"/>
    </row>
    <row r="487" spans="1:3" ht="15" x14ac:dyDescent="0.25">
      <c r="A487" s="32"/>
      <c r="B487" s="32"/>
      <c r="C487" s="32"/>
    </row>
    <row r="488" spans="1:3" ht="15" x14ac:dyDescent="0.25">
      <c r="A488" s="32"/>
      <c r="B488" s="32"/>
      <c r="C488" s="32"/>
    </row>
    <row r="489" spans="1:3" ht="15" x14ac:dyDescent="0.25">
      <c r="A489" s="32"/>
      <c r="B489" s="32"/>
      <c r="C489" s="32"/>
    </row>
    <row r="490" spans="1:3" ht="15" x14ac:dyDescent="0.25">
      <c r="A490" s="32"/>
      <c r="B490" s="32"/>
      <c r="C490" s="32"/>
    </row>
    <row r="491" spans="1:3" ht="15" x14ac:dyDescent="0.25">
      <c r="A491" s="32"/>
      <c r="B491" s="32"/>
      <c r="C491" s="32"/>
    </row>
    <row r="492" spans="1:3" ht="15" x14ac:dyDescent="0.25">
      <c r="A492" s="32"/>
      <c r="B492" s="32"/>
      <c r="C492" s="32"/>
    </row>
    <row r="493" spans="1:3" ht="15" x14ac:dyDescent="0.25">
      <c r="A493" s="32"/>
      <c r="B493" s="32"/>
      <c r="C493" s="32"/>
    </row>
    <row r="494" spans="1:3" ht="15" x14ac:dyDescent="0.25">
      <c r="A494" s="32"/>
      <c r="B494" s="32"/>
      <c r="C494" s="32"/>
    </row>
    <row r="495" spans="1:3" ht="15" x14ac:dyDescent="0.25">
      <c r="A495" s="32"/>
      <c r="B495" s="32"/>
      <c r="C495" s="32"/>
    </row>
    <row r="496" spans="1:3" ht="15" x14ac:dyDescent="0.25">
      <c r="A496" s="32"/>
      <c r="B496" s="32"/>
      <c r="C496" s="32"/>
    </row>
    <row r="497" spans="1:3" ht="15" x14ac:dyDescent="0.25">
      <c r="A497" s="32"/>
      <c r="B497" s="32"/>
      <c r="C497" s="32"/>
    </row>
    <row r="498" spans="1:3" ht="15" x14ac:dyDescent="0.25">
      <c r="A498" s="32"/>
      <c r="B498" s="32"/>
      <c r="C498" s="32"/>
    </row>
    <row r="499" spans="1:3" ht="15" x14ac:dyDescent="0.25">
      <c r="A499" s="32"/>
      <c r="B499" s="32"/>
      <c r="C499" s="32"/>
    </row>
    <row r="500" spans="1:3" ht="15" x14ac:dyDescent="0.25">
      <c r="A500" s="32"/>
      <c r="B500" s="32"/>
      <c r="C500" s="32"/>
    </row>
    <row r="501" spans="1:3" ht="15" x14ac:dyDescent="0.25">
      <c r="A501" s="32"/>
      <c r="B501" s="32"/>
      <c r="C501" s="32"/>
    </row>
    <row r="502" spans="1:3" ht="15" x14ac:dyDescent="0.25">
      <c r="A502" s="32"/>
      <c r="B502" s="32"/>
      <c r="C502" s="32"/>
    </row>
    <row r="503" spans="1:3" ht="15" x14ac:dyDescent="0.25">
      <c r="A503" s="32"/>
      <c r="B503" s="32"/>
      <c r="C503" s="32"/>
    </row>
    <row r="504" spans="1:3" ht="15" x14ac:dyDescent="0.25">
      <c r="A504" s="32"/>
      <c r="B504" s="32"/>
      <c r="C504" s="32"/>
    </row>
    <row r="505" spans="1:3" ht="15" x14ac:dyDescent="0.25">
      <c r="A505" s="32"/>
      <c r="B505" s="32"/>
      <c r="C505" s="32"/>
    </row>
    <row r="506" spans="1:3" ht="15" x14ac:dyDescent="0.25">
      <c r="A506" s="32"/>
      <c r="B506" s="32"/>
      <c r="C506" s="32"/>
    </row>
    <row r="507" spans="1:3" ht="15" x14ac:dyDescent="0.25">
      <c r="A507" s="32"/>
      <c r="B507" s="32"/>
      <c r="C507" s="32"/>
    </row>
    <row r="508" spans="1:3" ht="15" x14ac:dyDescent="0.25">
      <c r="A508" s="32"/>
      <c r="B508" s="32"/>
      <c r="C508" s="32"/>
    </row>
    <row r="509" spans="1:3" ht="15" x14ac:dyDescent="0.25">
      <c r="A509" s="32"/>
      <c r="B509" s="32"/>
      <c r="C509" s="32"/>
    </row>
    <row r="510" spans="1:3" ht="15" x14ac:dyDescent="0.25">
      <c r="A510" s="32"/>
      <c r="B510" s="32"/>
      <c r="C510" s="32"/>
    </row>
    <row r="511" spans="1:3" ht="15" x14ac:dyDescent="0.25">
      <c r="A511" s="32"/>
      <c r="B511" s="32"/>
      <c r="C511" s="32"/>
    </row>
    <row r="512" spans="1:3" ht="15" x14ac:dyDescent="0.25">
      <c r="A512" s="32"/>
      <c r="B512" s="32"/>
      <c r="C512" s="32"/>
    </row>
    <row r="513" spans="1:3" ht="15" x14ac:dyDescent="0.25">
      <c r="A513" s="32"/>
      <c r="B513" s="32"/>
      <c r="C513" s="32"/>
    </row>
    <row r="514" spans="1:3" ht="15" x14ac:dyDescent="0.25">
      <c r="A514" s="32"/>
      <c r="B514" s="32"/>
      <c r="C514" s="32"/>
    </row>
    <row r="515" spans="1:3" ht="15" x14ac:dyDescent="0.25">
      <c r="A515" s="32"/>
      <c r="B515" s="32"/>
      <c r="C515" s="32"/>
    </row>
    <row r="516" spans="1:3" ht="15" x14ac:dyDescent="0.25">
      <c r="A516" s="32"/>
      <c r="B516" s="32"/>
      <c r="C516" s="32"/>
    </row>
    <row r="517" spans="1:3" ht="15" x14ac:dyDescent="0.25">
      <c r="A517" s="32"/>
      <c r="B517" s="32"/>
      <c r="C517" s="32"/>
    </row>
    <row r="518" spans="1:3" ht="15" x14ac:dyDescent="0.25">
      <c r="A518" s="32"/>
      <c r="B518" s="32"/>
      <c r="C518" s="32"/>
    </row>
    <row r="519" spans="1:3" ht="15" x14ac:dyDescent="0.25">
      <c r="A519" s="32"/>
      <c r="B519" s="32"/>
      <c r="C519" s="32"/>
    </row>
    <row r="520" spans="1:3" ht="15" x14ac:dyDescent="0.25">
      <c r="A520" s="32"/>
      <c r="B520" s="32"/>
      <c r="C520" s="32"/>
    </row>
    <row r="521" spans="1:3" ht="15" x14ac:dyDescent="0.25">
      <c r="A521" s="32"/>
      <c r="B521" s="32"/>
      <c r="C521" s="32"/>
    </row>
    <row r="522" spans="1:3" ht="15" x14ac:dyDescent="0.25">
      <c r="A522" s="32"/>
      <c r="B522" s="32"/>
      <c r="C522" s="32"/>
    </row>
    <row r="523" spans="1:3" ht="15" x14ac:dyDescent="0.25">
      <c r="A523" s="32"/>
      <c r="B523" s="32"/>
      <c r="C523" s="32"/>
    </row>
    <row r="524" spans="1:3" ht="15" x14ac:dyDescent="0.25">
      <c r="A524" s="32"/>
      <c r="B524" s="32"/>
      <c r="C524" s="32"/>
    </row>
    <row r="525" spans="1:3" ht="15" x14ac:dyDescent="0.25">
      <c r="A525" s="32"/>
      <c r="B525" s="32"/>
      <c r="C525" s="32"/>
    </row>
    <row r="526" spans="1:3" ht="15" x14ac:dyDescent="0.25">
      <c r="A526" s="32"/>
      <c r="B526" s="32"/>
      <c r="C526" s="32"/>
    </row>
    <row r="527" spans="1:3" ht="15" x14ac:dyDescent="0.25">
      <c r="A527" s="32"/>
      <c r="B527" s="32"/>
      <c r="C527" s="32"/>
    </row>
    <row r="528" spans="1:3" ht="15" x14ac:dyDescent="0.25">
      <c r="A528" s="32"/>
      <c r="B528" s="32"/>
      <c r="C528" s="32"/>
    </row>
    <row r="529" spans="1:3" ht="15" x14ac:dyDescent="0.25">
      <c r="A529" s="32"/>
      <c r="B529" s="32"/>
      <c r="C529" s="32"/>
    </row>
    <row r="530" spans="1:3" ht="15" x14ac:dyDescent="0.25">
      <c r="A530" s="32"/>
      <c r="B530" s="32"/>
      <c r="C530" s="32"/>
    </row>
    <row r="531" spans="1:3" ht="15" x14ac:dyDescent="0.25">
      <c r="A531" s="32"/>
      <c r="B531" s="32"/>
      <c r="C531" s="32"/>
    </row>
    <row r="532" spans="1:3" ht="15" x14ac:dyDescent="0.25">
      <c r="A532" s="32"/>
      <c r="B532" s="32"/>
      <c r="C532" s="32"/>
    </row>
    <row r="533" spans="1:3" ht="15" x14ac:dyDescent="0.25">
      <c r="A533" s="32"/>
      <c r="B533" s="32"/>
      <c r="C533" s="32"/>
    </row>
    <row r="534" spans="1:3" ht="15" x14ac:dyDescent="0.25">
      <c r="A534" s="32"/>
      <c r="B534" s="32"/>
      <c r="C534" s="32"/>
    </row>
    <row r="535" spans="1:3" ht="15" x14ac:dyDescent="0.25">
      <c r="A535" s="32"/>
      <c r="B535" s="32"/>
      <c r="C535" s="32"/>
    </row>
    <row r="536" spans="1:3" ht="15" x14ac:dyDescent="0.25">
      <c r="A536" s="32"/>
      <c r="B536" s="32"/>
      <c r="C536" s="32"/>
    </row>
    <row r="537" spans="1:3" ht="15" x14ac:dyDescent="0.25">
      <c r="A537" s="32"/>
      <c r="B537" s="32"/>
      <c r="C537" s="32"/>
    </row>
    <row r="538" spans="1:3" ht="15" x14ac:dyDescent="0.25">
      <c r="A538" s="32"/>
      <c r="B538" s="32"/>
      <c r="C538" s="32"/>
    </row>
    <row r="539" spans="1:3" ht="15" x14ac:dyDescent="0.25">
      <c r="A539" s="32"/>
      <c r="B539" s="32"/>
      <c r="C539" s="32"/>
    </row>
    <row r="540" spans="1:3" ht="15" x14ac:dyDescent="0.25">
      <c r="A540" s="32"/>
      <c r="B540" s="32"/>
      <c r="C540" s="32"/>
    </row>
    <row r="541" spans="1:3" ht="15" x14ac:dyDescent="0.25">
      <c r="A541" s="32"/>
      <c r="B541" s="32"/>
      <c r="C541" s="32"/>
    </row>
    <row r="542" spans="1:3" ht="15" x14ac:dyDescent="0.25">
      <c r="A542" s="32"/>
      <c r="B542" s="32"/>
      <c r="C542" s="32"/>
    </row>
    <row r="543" spans="1:3" ht="15" x14ac:dyDescent="0.25">
      <c r="A543" s="32"/>
      <c r="B543" s="32"/>
      <c r="C543" s="32"/>
    </row>
    <row r="544" spans="1:3" ht="15" x14ac:dyDescent="0.25">
      <c r="A544" s="32"/>
      <c r="B544" s="32"/>
      <c r="C544" s="32"/>
    </row>
    <row r="545" spans="1:3" ht="15" x14ac:dyDescent="0.25">
      <c r="A545" s="32"/>
      <c r="B545" s="32"/>
      <c r="C545" s="32"/>
    </row>
    <row r="546" spans="1:3" ht="15" x14ac:dyDescent="0.25">
      <c r="A546" s="32"/>
      <c r="B546" s="32"/>
      <c r="C546" s="32"/>
    </row>
    <row r="547" spans="1:3" ht="15" x14ac:dyDescent="0.25">
      <c r="A547" s="32"/>
      <c r="B547" s="32"/>
      <c r="C547" s="32"/>
    </row>
    <row r="548" spans="1:3" ht="15" x14ac:dyDescent="0.25">
      <c r="A548" s="32"/>
      <c r="B548" s="32"/>
      <c r="C548" s="32"/>
    </row>
    <row r="549" spans="1:3" ht="15" x14ac:dyDescent="0.25">
      <c r="A549" s="32"/>
      <c r="B549" s="32"/>
      <c r="C549" s="32"/>
    </row>
    <row r="550" spans="1:3" ht="15" x14ac:dyDescent="0.25">
      <c r="A550" s="32"/>
      <c r="B550" s="32"/>
      <c r="C550" s="32"/>
    </row>
    <row r="551" spans="1:3" ht="15" x14ac:dyDescent="0.25">
      <c r="A551" s="32"/>
      <c r="B551" s="32"/>
      <c r="C551" s="32"/>
    </row>
    <row r="552" spans="1:3" ht="15" x14ac:dyDescent="0.25">
      <c r="A552" s="32"/>
      <c r="B552" s="32"/>
      <c r="C552" s="32"/>
    </row>
    <row r="553" spans="1:3" ht="15" x14ac:dyDescent="0.25">
      <c r="A553" s="32"/>
      <c r="B553" s="32"/>
      <c r="C553" s="32"/>
    </row>
    <row r="554" spans="1:3" ht="15" x14ac:dyDescent="0.25">
      <c r="A554" s="32"/>
      <c r="B554" s="32"/>
      <c r="C554" s="32"/>
    </row>
    <row r="555" spans="1:3" ht="15" x14ac:dyDescent="0.25">
      <c r="A555" s="32"/>
      <c r="B555" s="32"/>
      <c r="C555" s="32"/>
    </row>
    <row r="556" spans="1:3" ht="15" x14ac:dyDescent="0.25">
      <c r="A556" s="32"/>
      <c r="B556" s="32"/>
      <c r="C556" s="32"/>
    </row>
    <row r="557" spans="1:3" ht="15" x14ac:dyDescent="0.25">
      <c r="A557" s="32"/>
      <c r="B557" s="32"/>
      <c r="C557" s="32"/>
    </row>
    <row r="558" spans="1:3" ht="15" x14ac:dyDescent="0.25">
      <c r="A558" s="32"/>
      <c r="B558" s="32"/>
      <c r="C558" s="32"/>
    </row>
    <row r="559" spans="1:3" ht="15" x14ac:dyDescent="0.25">
      <c r="A559" s="32"/>
      <c r="B559" s="32"/>
      <c r="C559" s="32"/>
    </row>
    <row r="560" spans="1:3" ht="15" x14ac:dyDescent="0.25">
      <c r="A560" s="32"/>
      <c r="B560" s="32"/>
      <c r="C560" s="32"/>
    </row>
    <row r="561" spans="1:3" ht="15" x14ac:dyDescent="0.25">
      <c r="A561" s="32"/>
      <c r="B561" s="32"/>
      <c r="C561" s="32"/>
    </row>
    <row r="562" spans="1:3" ht="15" x14ac:dyDescent="0.25">
      <c r="A562" s="32"/>
      <c r="B562" s="32"/>
      <c r="C562" s="32"/>
    </row>
    <row r="563" spans="1:3" ht="15" x14ac:dyDescent="0.25">
      <c r="A563" s="32"/>
      <c r="B563" s="32"/>
      <c r="C563" s="32"/>
    </row>
    <row r="564" spans="1:3" ht="15" x14ac:dyDescent="0.25">
      <c r="A564" s="32"/>
      <c r="B564" s="32"/>
      <c r="C564" s="32"/>
    </row>
    <row r="565" spans="1:3" ht="15" x14ac:dyDescent="0.25">
      <c r="A565" s="32"/>
      <c r="B565" s="32"/>
      <c r="C565" s="32"/>
    </row>
    <row r="566" spans="1:3" ht="15" x14ac:dyDescent="0.25">
      <c r="A566" s="32"/>
      <c r="B566" s="32"/>
      <c r="C566" s="32"/>
    </row>
    <row r="567" spans="1:3" ht="15" x14ac:dyDescent="0.25">
      <c r="A567" s="32"/>
      <c r="B567" s="32"/>
      <c r="C567" s="32"/>
    </row>
    <row r="568" spans="1:3" ht="15" x14ac:dyDescent="0.25">
      <c r="A568" s="32"/>
      <c r="B568" s="32"/>
      <c r="C568" s="32"/>
    </row>
    <row r="569" spans="1:3" ht="15" x14ac:dyDescent="0.25">
      <c r="A569" s="32"/>
      <c r="B569" s="32"/>
      <c r="C569" s="32"/>
    </row>
    <row r="570" spans="1:3" ht="15" x14ac:dyDescent="0.25">
      <c r="A570" s="32"/>
      <c r="B570" s="32"/>
      <c r="C570" s="32"/>
    </row>
    <row r="571" spans="1:3" ht="15" x14ac:dyDescent="0.25">
      <c r="A571" s="32"/>
      <c r="B571" s="32"/>
      <c r="C571" s="32"/>
    </row>
    <row r="572" spans="1:3" ht="15" x14ac:dyDescent="0.25">
      <c r="A572" s="32"/>
      <c r="B572" s="32"/>
      <c r="C572" s="32"/>
    </row>
    <row r="573" spans="1:3" ht="15" x14ac:dyDescent="0.25">
      <c r="A573" s="32"/>
      <c r="B573" s="32"/>
      <c r="C573" s="32"/>
    </row>
    <row r="574" spans="1:3" ht="15" x14ac:dyDescent="0.25">
      <c r="A574" s="32"/>
      <c r="B574" s="32"/>
      <c r="C574" s="32"/>
    </row>
    <row r="575" spans="1:3" ht="15" x14ac:dyDescent="0.25">
      <c r="A575" s="32"/>
      <c r="B575" s="32"/>
      <c r="C575" s="32"/>
    </row>
    <row r="576" spans="1:3" ht="15" x14ac:dyDescent="0.25">
      <c r="A576" s="32"/>
      <c r="B576" s="32"/>
      <c r="C576" s="32"/>
    </row>
    <row r="577" spans="1:3" ht="15" x14ac:dyDescent="0.25">
      <c r="A577" s="32"/>
      <c r="B577" s="32"/>
      <c r="C577" s="32"/>
    </row>
    <row r="578" spans="1:3" ht="15" x14ac:dyDescent="0.25">
      <c r="A578" s="32"/>
      <c r="B578" s="32"/>
      <c r="C578" s="32"/>
    </row>
    <row r="579" spans="1:3" ht="15" x14ac:dyDescent="0.25">
      <c r="A579" s="32"/>
      <c r="B579" s="32"/>
      <c r="C579" s="32"/>
    </row>
    <row r="580" spans="1:3" ht="15" x14ac:dyDescent="0.25">
      <c r="A580" s="32"/>
      <c r="B580" s="32"/>
      <c r="C580" s="32"/>
    </row>
    <row r="581" spans="1:3" ht="15" x14ac:dyDescent="0.25">
      <c r="A581" s="32"/>
      <c r="B581" s="32"/>
      <c r="C581" s="32"/>
    </row>
    <row r="582" spans="1:3" ht="15" x14ac:dyDescent="0.25">
      <c r="A582" s="32"/>
      <c r="B582" s="32"/>
      <c r="C582" s="32"/>
    </row>
    <row r="583" spans="1:3" ht="15" x14ac:dyDescent="0.25">
      <c r="A583" s="32"/>
      <c r="B583" s="32"/>
      <c r="C583" s="32"/>
    </row>
    <row r="584" spans="1:3" ht="15" x14ac:dyDescent="0.25">
      <c r="A584" s="32"/>
      <c r="B584" s="32"/>
      <c r="C584" s="32"/>
    </row>
    <row r="585" spans="1:3" ht="15" x14ac:dyDescent="0.25">
      <c r="A585" s="32"/>
      <c r="B585" s="32"/>
      <c r="C585" s="32"/>
    </row>
    <row r="586" spans="1:3" ht="15" x14ac:dyDescent="0.25">
      <c r="A586" s="32"/>
      <c r="B586" s="32"/>
      <c r="C586" s="32"/>
    </row>
    <row r="587" spans="1:3" ht="15" x14ac:dyDescent="0.25">
      <c r="A587" s="32"/>
      <c r="B587" s="32"/>
      <c r="C587" s="32"/>
    </row>
    <row r="588" spans="1:3" ht="15" x14ac:dyDescent="0.25">
      <c r="A588" s="32"/>
      <c r="B588" s="32"/>
      <c r="C588" s="32"/>
    </row>
    <row r="589" spans="1:3" ht="15" x14ac:dyDescent="0.25">
      <c r="A589" s="32"/>
      <c r="B589" s="32"/>
      <c r="C589" s="32"/>
    </row>
    <row r="590" spans="1:3" ht="15" x14ac:dyDescent="0.25">
      <c r="A590" s="32"/>
      <c r="B590" s="32"/>
      <c r="C590" s="32"/>
    </row>
    <row r="591" spans="1:3" ht="15" x14ac:dyDescent="0.25">
      <c r="A591" s="32"/>
      <c r="B591" s="32"/>
      <c r="C591" s="32"/>
    </row>
    <row r="592" spans="1:3" ht="15" x14ac:dyDescent="0.25">
      <c r="A592" s="32"/>
      <c r="B592" s="32"/>
      <c r="C592" s="32"/>
    </row>
    <row r="593" spans="1:3" ht="15" x14ac:dyDescent="0.25">
      <c r="A593" s="32"/>
      <c r="B593" s="32"/>
      <c r="C593" s="32"/>
    </row>
    <row r="594" spans="1:3" ht="15" x14ac:dyDescent="0.25">
      <c r="A594" s="32"/>
      <c r="B594" s="32"/>
      <c r="C594" s="32"/>
    </row>
    <row r="595" spans="1:3" ht="15" x14ac:dyDescent="0.25">
      <c r="A595" s="32"/>
      <c r="B595" s="32"/>
      <c r="C595" s="32"/>
    </row>
    <row r="596" spans="1:3" ht="15" x14ac:dyDescent="0.25">
      <c r="A596" s="32"/>
      <c r="B596" s="32"/>
      <c r="C596" s="32"/>
    </row>
    <row r="597" spans="1:3" ht="15" x14ac:dyDescent="0.25">
      <c r="A597" s="32"/>
      <c r="B597" s="32"/>
      <c r="C597" s="32"/>
    </row>
    <row r="598" spans="1:3" ht="15" x14ac:dyDescent="0.25">
      <c r="A598" s="32"/>
      <c r="B598" s="32"/>
      <c r="C598" s="32"/>
    </row>
    <row r="599" spans="1:3" ht="15" x14ac:dyDescent="0.25">
      <c r="A599" s="32"/>
      <c r="B599" s="32"/>
      <c r="C599" s="32"/>
    </row>
    <row r="600" spans="1:3" ht="15" x14ac:dyDescent="0.25">
      <c r="A600" s="32"/>
      <c r="B600" s="32"/>
      <c r="C600" s="32"/>
    </row>
    <row r="601" spans="1:3" ht="15" x14ac:dyDescent="0.25">
      <c r="A601" s="32"/>
      <c r="B601" s="32"/>
      <c r="C601" s="32"/>
    </row>
    <row r="602" spans="1:3" ht="15" x14ac:dyDescent="0.25">
      <c r="A602" s="32"/>
      <c r="B602" s="32"/>
      <c r="C602" s="32"/>
    </row>
    <row r="603" spans="1:3" ht="15" x14ac:dyDescent="0.25">
      <c r="A603" s="32"/>
      <c r="B603" s="32"/>
      <c r="C603" s="32"/>
    </row>
    <row r="604" spans="1:3" ht="15" x14ac:dyDescent="0.25">
      <c r="A604" s="32"/>
      <c r="B604" s="32"/>
      <c r="C604" s="32"/>
    </row>
    <row r="605" spans="1:3" ht="15" x14ac:dyDescent="0.25">
      <c r="A605" s="32"/>
      <c r="B605" s="32"/>
      <c r="C605" s="32"/>
    </row>
    <row r="606" spans="1:3" ht="15" x14ac:dyDescent="0.25">
      <c r="A606" s="32"/>
      <c r="B606" s="32"/>
      <c r="C606" s="32"/>
    </row>
    <row r="607" spans="1:3" ht="15" x14ac:dyDescent="0.25">
      <c r="A607" s="32"/>
      <c r="B607" s="32"/>
      <c r="C607" s="32"/>
    </row>
    <row r="608" spans="1:3" ht="15" x14ac:dyDescent="0.25">
      <c r="A608" s="32"/>
      <c r="B608" s="32"/>
      <c r="C608" s="32"/>
    </row>
    <row r="609" spans="1:3" ht="15" x14ac:dyDescent="0.25">
      <c r="A609" s="32"/>
      <c r="B609" s="32"/>
      <c r="C609" s="32"/>
    </row>
    <row r="610" spans="1:3" ht="15" x14ac:dyDescent="0.25">
      <c r="A610" s="32"/>
      <c r="B610" s="32"/>
      <c r="C610" s="32"/>
    </row>
    <row r="611" spans="1:3" ht="15" x14ac:dyDescent="0.25">
      <c r="A611" s="32"/>
      <c r="B611" s="32"/>
      <c r="C611" s="32"/>
    </row>
    <row r="612" spans="1:3" ht="15" x14ac:dyDescent="0.25">
      <c r="A612" s="32"/>
      <c r="B612" s="32"/>
      <c r="C612" s="32"/>
    </row>
    <row r="613" spans="1:3" ht="15" x14ac:dyDescent="0.25">
      <c r="A613" s="32"/>
      <c r="B613" s="32"/>
      <c r="C613" s="32"/>
    </row>
  </sheetData>
  <mergeCells count="86">
    <mergeCell ref="C60:C62"/>
    <mergeCell ref="C44:C45"/>
    <mergeCell ref="B47:C47"/>
    <mergeCell ref="B48:B62"/>
    <mergeCell ref="C48:C51"/>
    <mergeCell ref="C52:C54"/>
    <mergeCell ref="C55:C56"/>
    <mergeCell ref="C57:C59"/>
    <mergeCell ref="B37:B45"/>
    <mergeCell ref="C40:C41"/>
    <mergeCell ref="C42:C43"/>
    <mergeCell ref="B7:C7"/>
    <mergeCell ref="C24:C25"/>
    <mergeCell ref="C18:C22"/>
    <mergeCell ref="B36:C36"/>
    <mergeCell ref="C27:C32"/>
    <mergeCell ref="C14:C17"/>
    <mergeCell ref="B34:H34"/>
    <mergeCell ref="C8:C11"/>
    <mergeCell ref="C12:C13"/>
    <mergeCell ref="B8:B32"/>
    <mergeCell ref="F3:H3"/>
    <mergeCell ref="B6:H6"/>
    <mergeCell ref="B2:H2"/>
    <mergeCell ref="B3:C3"/>
    <mergeCell ref="B4:C4"/>
    <mergeCell ref="F4:H4"/>
    <mergeCell ref="J36:K36"/>
    <mergeCell ref="J37:J45"/>
    <mergeCell ref="K40:K41"/>
    <mergeCell ref="K42:K43"/>
    <mergeCell ref="J2:P2"/>
    <mergeCell ref="J3:K3"/>
    <mergeCell ref="N3:P3"/>
    <mergeCell ref="N4:P4"/>
    <mergeCell ref="J8:J32"/>
    <mergeCell ref="K8:K11"/>
    <mergeCell ref="J4:K4"/>
    <mergeCell ref="J6:P6"/>
    <mergeCell ref="J7:K7"/>
    <mergeCell ref="K12:K13"/>
    <mergeCell ref="K14:K17"/>
    <mergeCell ref="K18:K22"/>
    <mergeCell ref="K24:K25"/>
    <mergeCell ref="K27:K32"/>
    <mergeCell ref="R2:X2"/>
    <mergeCell ref="R3:S3"/>
    <mergeCell ref="V3:X3"/>
    <mergeCell ref="R4:S4"/>
    <mergeCell ref="V4:X4"/>
    <mergeCell ref="R6:X6"/>
    <mergeCell ref="R7:S7"/>
    <mergeCell ref="R8:R32"/>
    <mergeCell ref="S8:S11"/>
    <mergeCell ref="S12:S13"/>
    <mergeCell ref="S14:S17"/>
    <mergeCell ref="S18:S22"/>
    <mergeCell ref="S24:S25"/>
    <mergeCell ref="S27:S32"/>
    <mergeCell ref="R34:X34"/>
    <mergeCell ref="R36:S36"/>
    <mergeCell ref="R37:R45"/>
    <mergeCell ref="S40:S41"/>
    <mergeCell ref="S42:S43"/>
    <mergeCell ref="S44:S45"/>
    <mergeCell ref="R47:S47"/>
    <mergeCell ref="R48:R62"/>
    <mergeCell ref="S48:S51"/>
    <mergeCell ref="S52:S54"/>
    <mergeCell ref="S55:S56"/>
    <mergeCell ref="S57:S59"/>
    <mergeCell ref="S60:S62"/>
    <mergeCell ref="K44:K45"/>
    <mergeCell ref="J47:K47"/>
    <mergeCell ref="J48:J62"/>
    <mergeCell ref="K48:K51"/>
    <mergeCell ref="K52:K54"/>
    <mergeCell ref="K55:K56"/>
    <mergeCell ref="K57:K59"/>
    <mergeCell ref="K60:K62"/>
    <mergeCell ref="B64:B65"/>
    <mergeCell ref="J64:J65"/>
    <mergeCell ref="K64:K65"/>
    <mergeCell ref="R64:R65"/>
    <mergeCell ref="S64:S65"/>
    <mergeCell ref="C64:C65"/>
  </mergeCells>
  <conditionalFormatting sqref="B4:C4 E4 E8:H32 E37:H45 E48:H62 E64:H65">
    <cfRule type="cellIs" dxfId="232" priority="7" operator="equal">
      <formula>0</formula>
    </cfRule>
  </conditionalFormatting>
  <conditionalFormatting sqref="N8:N32">
    <cfRule type="expression" dxfId="231" priority="3">
      <formula>IF(M8="Not measured",M8)</formula>
    </cfRule>
  </conditionalFormatting>
  <conditionalFormatting sqref="N37:N45">
    <cfRule type="expression" dxfId="230" priority="1">
      <formula>IF(M37="Not measured",M37)</formula>
    </cfRule>
  </conditionalFormatting>
  <conditionalFormatting sqref="N48:N62">
    <cfRule type="expression" dxfId="229" priority="2">
      <formula>IF(M48="Not measured",M48)</formula>
    </cfRule>
  </conditionalFormatting>
  <pageMargins left="0.31496062992125984" right="0.11811023622047245" top="0.39370078740157483" bottom="0.19685039370078741" header="0.19685039370078741" footer="0.11811023622047245"/>
  <pageSetup paperSize="9" scale="32" fitToHeight="0" orientation="portrait" r:id="rId1"/>
  <headerFooter>
    <oddHeader>&amp;L&amp;F&amp;R&amp;D</oddHeader>
    <oddFooter>&amp;C&amp;K02-008ScorecardVersion 2019&amp;R&amp;K01+045&amp;P                &amp;K00+000.</oddFooter>
  </headerFooter>
  <rowBreaks count="1" manualBreakCount="1">
    <brk id="32" max="16383" man="1"/>
  </rowBreaks>
  <extLst>
    <ext xmlns:x14="http://schemas.microsoft.com/office/spreadsheetml/2009/9/main" uri="{CCE6A557-97BC-4b89-ADB6-D9C93CAAB3DF}">
      <x14:dataValidations xmlns:xm="http://schemas.microsoft.com/office/excel/2006/main" disablePrompts="1" xWindow="1393" yWindow="527" count="3">
        <x14:dataValidation type="list" allowBlank="1" showInputMessage="1" showErrorMessage="1" prompt="Please select from one of the drop down options." xr:uid="{00000000-0002-0000-0100-000003000000}">
          <x14:formula1>
            <xm:f>Calculation!$AX$3:$AX$6</xm:f>
          </x14:formula1>
          <xm:sqref>H33 H46 X33 X46</xm:sqref>
        </x14:dataValidation>
        <x14:dataValidation type="list" allowBlank="1" showInputMessage="1" showErrorMessage="1" prompt="Please select from one of the drop down options." xr:uid="{00000000-0002-0000-0100-000002000000}">
          <x14:formula1>
            <xm:f>Calculation!$AG$3:$AG$9</xm:f>
          </x14:formula1>
          <xm:sqref>F33 V46 V33 F46</xm:sqref>
        </x14:dataValidation>
        <x14:dataValidation type="list" allowBlank="1" showInputMessage="1" showErrorMessage="1" xr:uid="{00000000-0002-0000-0100-000001000000}">
          <x14:formula1>
            <xm:f>Calculation!$AL$3:$AL$8</xm:f>
          </x14:formula1>
          <xm:sqref>E33 U46 U33 E46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8">
    <tabColor theme="3"/>
  </sheetPr>
  <dimension ref="A1:BD1619"/>
  <sheetViews>
    <sheetView showGridLines="0" zoomScale="60" zoomScaleNormal="60" workbookViewId="0">
      <selection activeCell="B1" sqref="B1"/>
    </sheetView>
  </sheetViews>
  <sheetFormatPr defaultColWidth="11.42578125" defaultRowHeight="15" x14ac:dyDescent="0.25"/>
  <cols>
    <col min="1" max="1" width="2.7109375" customWidth="1"/>
    <col min="2" max="2" width="2.42578125" customWidth="1"/>
    <col min="3" max="3" width="4.42578125" customWidth="1"/>
    <col min="4" max="4" width="17.7109375" customWidth="1"/>
    <col min="5" max="5" width="4.42578125" customWidth="1"/>
    <col min="6" max="6" width="1.7109375" customWidth="1"/>
    <col min="7" max="7" width="4.42578125" customWidth="1"/>
    <col min="8" max="8" width="17.7109375" customWidth="1"/>
    <col min="9" max="9" width="4.42578125" customWidth="1"/>
    <col min="10" max="10" width="1.7109375" customWidth="1"/>
    <col min="11" max="11" width="4.42578125" customWidth="1"/>
    <col min="12" max="12" width="17.7109375" customWidth="1"/>
    <col min="13" max="13" width="4.42578125" customWidth="1"/>
    <col min="14" max="14" width="1.7109375" customWidth="1"/>
    <col min="15" max="15" width="4.42578125" customWidth="1"/>
    <col min="16" max="16" width="17.7109375" customWidth="1"/>
    <col min="17" max="17" width="4.42578125" customWidth="1"/>
    <col min="18" max="18" width="1.7109375" customWidth="1"/>
    <col min="19" max="19" width="4.42578125" customWidth="1"/>
    <col min="20" max="20" width="17.7109375" customWidth="1"/>
    <col min="21" max="21" width="4.42578125" customWidth="1"/>
    <col min="22" max="22" width="1.7109375" customWidth="1"/>
    <col min="23" max="23" width="4.42578125" customWidth="1"/>
    <col min="24" max="24" width="17.7109375" customWidth="1"/>
    <col min="25" max="25" width="4.42578125" customWidth="1"/>
    <col min="26" max="26" width="1.7109375" customWidth="1"/>
    <col min="27" max="27" width="4.42578125" customWidth="1"/>
    <col min="28" max="28" width="17.7109375" customWidth="1"/>
    <col min="29" max="29" width="4.42578125" customWidth="1"/>
    <col min="30" max="30" width="1.7109375" customWidth="1"/>
    <col min="31" max="31" width="17.7109375" customWidth="1"/>
    <col min="32" max="32" width="1.7109375" customWidth="1"/>
    <col min="33" max="33" width="4.42578125" customWidth="1"/>
    <col min="34" max="34" width="0.42578125" customWidth="1"/>
    <col min="35" max="35" width="4.28515625" customWidth="1"/>
    <col min="36" max="36" width="6.7109375" customWidth="1"/>
    <col min="37" max="37" width="32.7109375" customWidth="1"/>
    <col min="38" max="38" width="10" customWidth="1"/>
    <col min="39" max="40" width="9.7109375" customWidth="1"/>
    <col min="41" max="41" width="5.7109375" customWidth="1"/>
    <col min="42" max="42" width="6.7109375" customWidth="1"/>
    <col min="43" max="43" width="32.7109375" customWidth="1"/>
    <col min="44" max="46" width="9.7109375" customWidth="1"/>
    <col min="47" max="47" width="5.7109375" customWidth="1"/>
    <col min="48" max="48" width="6.7109375" customWidth="1"/>
    <col min="49" max="49" width="32.7109375" customWidth="1"/>
    <col min="50" max="52" width="9.7109375" customWidth="1"/>
    <col min="53" max="53" width="3.140625" style="9" customWidth="1"/>
  </cols>
  <sheetData>
    <row r="1" spans="1:53" ht="42.75" customHeight="1" thickTop="1" x14ac:dyDescent="0.35">
      <c r="A1" s="195"/>
      <c r="B1" s="170"/>
      <c r="C1" s="171"/>
      <c r="D1" s="171"/>
      <c r="E1" s="171"/>
      <c r="F1" s="171"/>
      <c r="G1" s="171"/>
      <c r="H1" s="171"/>
      <c r="I1" s="171"/>
      <c r="J1" s="171"/>
      <c r="K1" s="172"/>
      <c r="L1" s="172"/>
      <c r="M1" s="173"/>
      <c r="N1" s="172"/>
      <c r="O1" s="172"/>
      <c r="P1" s="172"/>
      <c r="Q1" s="173"/>
      <c r="R1" s="172"/>
      <c r="S1" s="172"/>
      <c r="T1" s="172"/>
      <c r="U1" s="173"/>
      <c r="V1" s="174"/>
      <c r="W1" s="174"/>
      <c r="X1" s="174"/>
      <c r="Y1" s="174"/>
      <c r="Z1" s="174"/>
      <c r="AA1" s="174"/>
      <c r="AB1" s="174"/>
      <c r="AC1" s="174"/>
      <c r="AD1" s="174"/>
      <c r="AE1" s="174"/>
      <c r="AF1" s="174"/>
      <c r="AG1" s="158"/>
      <c r="AH1" s="113"/>
      <c r="AI1" s="148"/>
      <c r="AJ1" s="174"/>
      <c r="AK1" s="525" t="str">
        <f>_xlfn.CONCAT("Comparison ",Country," ",Technology, " market")</f>
        <v>Comparison  Other market</v>
      </c>
      <c r="AL1" s="525"/>
      <c r="AM1" s="525"/>
      <c r="AN1" s="525"/>
      <c r="AO1" s="525"/>
      <c r="AP1" s="525"/>
      <c r="AQ1" s="525"/>
      <c r="AR1" s="525"/>
      <c r="AS1" s="525"/>
      <c r="AT1" s="525"/>
      <c r="AU1" s="525"/>
      <c r="AV1" s="525"/>
      <c r="AW1" s="525"/>
      <c r="AX1" s="525"/>
      <c r="AY1" s="525"/>
      <c r="AZ1" s="525"/>
      <c r="BA1" s="174"/>
    </row>
    <row r="2" spans="1:53" ht="67.5" customHeight="1" x14ac:dyDescent="0.5">
      <c r="A2" s="148"/>
      <c r="B2" s="176"/>
      <c r="C2" s="616" t="s">
        <v>60</v>
      </c>
      <c r="D2" s="616"/>
      <c r="E2" s="616"/>
      <c r="F2" s="616"/>
      <c r="G2" s="616"/>
      <c r="H2" s="616"/>
      <c r="I2" s="616"/>
      <c r="J2" s="616"/>
      <c r="K2" s="616"/>
      <c r="L2" s="616"/>
      <c r="M2" s="141"/>
      <c r="N2" s="141"/>
      <c r="O2" s="617">
        <f>Calculation!U3</f>
        <v>0</v>
      </c>
      <c r="P2" s="617"/>
      <c r="Q2" s="617"/>
      <c r="R2" s="617"/>
      <c r="S2" s="617"/>
      <c r="T2" s="617"/>
      <c r="U2" s="617"/>
      <c r="V2" s="142"/>
      <c r="W2" s="524">
        <f>Year</f>
        <v>2024</v>
      </c>
      <c r="X2" s="524"/>
      <c r="Y2" s="143" t="str">
        <f>Calculation!T3</f>
        <v>Other</v>
      </c>
      <c r="Z2" s="143"/>
      <c r="AA2" s="143"/>
      <c r="AB2" s="143"/>
      <c r="AC2" s="143"/>
      <c r="AD2" s="143"/>
      <c r="AE2" s="143"/>
      <c r="AF2" s="143"/>
      <c r="AG2" s="158"/>
      <c r="AI2" s="148"/>
      <c r="AJ2" s="158"/>
      <c r="AK2" s="526"/>
      <c r="AL2" s="526"/>
      <c r="AM2" s="526"/>
      <c r="AN2" s="526"/>
      <c r="AO2" s="526"/>
      <c r="AP2" s="526"/>
      <c r="AQ2" s="526"/>
      <c r="AR2" s="526"/>
      <c r="AS2" s="526"/>
      <c r="AT2" s="526"/>
      <c r="AU2" s="526"/>
      <c r="AV2" s="526"/>
      <c r="AW2" s="526"/>
      <c r="AX2" s="526"/>
      <c r="AY2" s="526"/>
      <c r="AZ2" s="526"/>
      <c r="BA2" s="158"/>
    </row>
    <row r="3" spans="1:53" ht="18" customHeight="1" x14ac:dyDescent="0.25">
      <c r="A3" s="148"/>
      <c r="B3" s="176"/>
      <c r="C3" s="616"/>
      <c r="D3" s="616"/>
      <c r="E3" s="616"/>
      <c r="F3" s="616"/>
      <c r="G3" s="616"/>
      <c r="H3" s="616"/>
      <c r="I3" s="616"/>
      <c r="J3" s="616"/>
      <c r="K3" s="616"/>
      <c r="L3" s="616"/>
      <c r="M3" s="141"/>
      <c r="N3" s="141"/>
      <c r="O3" s="142"/>
      <c r="P3" s="142"/>
      <c r="Q3" s="142"/>
      <c r="R3" s="142"/>
      <c r="S3" s="142"/>
      <c r="T3" s="142"/>
      <c r="U3" s="142"/>
      <c r="V3" s="141"/>
      <c r="W3" s="618" t="s">
        <v>61</v>
      </c>
      <c r="X3" s="618"/>
      <c r="Y3" s="144" t="s">
        <v>62</v>
      </c>
      <c r="Z3" s="144"/>
      <c r="AA3" s="144"/>
      <c r="AB3" s="144"/>
      <c r="AC3" s="145">
        <f>Calculation!Y3</f>
        <v>0</v>
      </c>
      <c r="AD3" s="143"/>
      <c r="AE3" s="143"/>
      <c r="AF3" s="143"/>
      <c r="AG3" s="158"/>
      <c r="AI3" s="148"/>
      <c r="AJ3" s="619"/>
      <c r="AK3" s="619"/>
      <c r="AL3" s="619"/>
      <c r="AM3" s="620"/>
      <c r="AN3" s="620"/>
      <c r="AO3" s="620"/>
      <c r="AP3" s="620"/>
      <c r="AQ3" s="620"/>
      <c r="AR3" s="620"/>
      <c r="AS3" s="158"/>
      <c r="AT3" s="158"/>
      <c r="AU3" s="158"/>
      <c r="AV3" s="158"/>
      <c r="AW3" s="158"/>
      <c r="AX3" s="158"/>
      <c r="AY3" s="158"/>
      <c r="AZ3" s="158"/>
      <c r="BA3" s="158"/>
    </row>
    <row r="4" spans="1:53" ht="31.5" customHeight="1" x14ac:dyDescent="0.25">
      <c r="A4" s="148"/>
      <c r="B4" s="176"/>
      <c r="C4" s="616"/>
      <c r="D4" s="616"/>
      <c r="E4" s="616"/>
      <c r="F4" s="616"/>
      <c r="G4" s="616"/>
      <c r="H4" s="616"/>
      <c r="I4" s="616"/>
      <c r="J4" s="616"/>
      <c r="K4" s="616"/>
      <c r="L4" s="616"/>
      <c r="M4" s="141"/>
      <c r="N4" s="141"/>
      <c r="O4" s="142"/>
      <c r="P4" s="142"/>
      <c r="Q4" s="142"/>
      <c r="R4" s="142"/>
      <c r="S4" s="142"/>
      <c r="T4" s="142"/>
      <c r="U4" s="142"/>
      <c r="V4" s="141"/>
      <c r="W4" s="146"/>
      <c r="X4" s="146"/>
      <c r="Y4" s="144" t="s">
        <v>63</v>
      </c>
      <c r="Z4" s="144"/>
      <c r="AA4" s="144"/>
      <c r="AB4" s="144"/>
      <c r="AC4" s="145">
        <f>Calculation!Y4</f>
        <v>0</v>
      </c>
      <c r="AD4" s="143"/>
      <c r="AE4" s="143"/>
      <c r="AF4" s="143"/>
      <c r="AG4" s="158"/>
      <c r="AI4" s="148"/>
      <c r="AJ4" s="158"/>
      <c r="AK4" s="158"/>
      <c r="AL4" s="158"/>
      <c r="AM4" s="620"/>
      <c r="AN4" s="620"/>
      <c r="AO4" s="620"/>
      <c r="AP4" s="620"/>
      <c r="AQ4" s="620"/>
      <c r="AR4" s="620"/>
      <c r="AS4" s="158"/>
      <c r="AT4" s="158"/>
      <c r="AU4" s="158"/>
      <c r="AV4" s="158"/>
      <c r="AW4" s="158"/>
      <c r="AX4" s="158"/>
      <c r="AY4" s="158"/>
      <c r="AZ4" s="158"/>
      <c r="BA4" s="158"/>
    </row>
    <row r="5" spans="1:53" ht="35.25" customHeight="1" thickBot="1" x14ac:dyDescent="0.3">
      <c r="A5" s="148"/>
      <c r="B5" s="176"/>
      <c r="C5" s="141"/>
      <c r="D5" s="141"/>
      <c r="E5" s="141"/>
      <c r="F5" s="141"/>
      <c r="G5" s="141"/>
      <c r="H5" s="141"/>
      <c r="I5" s="141"/>
      <c r="J5" s="141"/>
      <c r="K5" s="141"/>
      <c r="L5" s="143" t="s">
        <v>64</v>
      </c>
      <c r="M5" s="143"/>
      <c r="N5" s="143"/>
      <c r="O5" s="143"/>
      <c r="P5" s="143"/>
      <c r="Q5" s="143"/>
      <c r="R5" s="143"/>
      <c r="S5" s="143"/>
      <c r="T5" s="141"/>
      <c r="U5" s="141"/>
      <c r="V5" s="141"/>
      <c r="W5" s="141"/>
      <c r="X5" s="141"/>
      <c r="Y5" s="147"/>
      <c r="Z5" s="148"/>
      <c r="AA5" s="148"/>
      <c r="AB5" s="148"/>
      <c r="AC5" s="141"/>
      <c r="AD5" s="141"/>
      <c r="AE5" s="141"/>
      <c r="AF5" s="141"/>
      <c r="AG5" s="158"/>
      <c r="AI5" s="148"/>
      <c r="AJ5" s="158"/>
      <c r="AK5" s="158"/>
      <c r="AL5" s="524" t="s">
        <v>65</v>
      </c>
      <c r="AM5" s="524"/>
      <c r="AN5" s="524"/>
      <c r="AO5" s="524"/>
      <c r="AP5" s="524"/>
      <c r="AQ5" s="524"/>
      <c r="AR5" s="524"/>
      <c r="AS5" s="524"/>
      <c r="AT5" s="524"/>
      <c r="AU5" s="524"/>
      <c r="AV5" s="524"/>
      <c r="AW5" s="524"/>
      <c r="AX5" s="524"/>
      <c r="AY5" s="524"/>
      <c r="AZ5" s="524"/>
      <c r="BA5" s="158"/>
    </row>
    <row r="6" spans="1:53" ht="24.75" customHeight="1" thickTop="1" thickBot="1" x14ac:dyDescent="0.3">
      <c r="A6" s="148"/>
      <c r="B6" s="178"/>
      <c r="C6" s="27" t="s">
        <v>66</v>
      </c>
      <c r="D6" s="137" t="s">
        <v>67</v>
      </c>
      <c r="E6" s="138"/>
      <c r="F6" s="149"/>
      <c r="G6" s="27" t="s">
        <v>68</v>
      </c>
      <c r="H6" s="621" t="s">
        <v>69</v>
      </c>
      <c r="I6" s="622"/>
      <c r="J6" s="150"/>
      <c r="K6" s="27" t="s">
        <v>70</v>
      </c>
      <c r="L6" s="621" t="s">
        <v>71</v>
      </c>
      <c r="M6" s="622"/>
      <c r="N6" s="140"/>
      <c r="O6" s="27" t="s">
        <v>72</v>
      </c>
      <c r="P6" s="621" t="s">
        <v>73</v>
      </c>
      <c r="Q6" s="622"/>
      <c r="R6" s="140"/>
      <c r="S6" s="27" t="s">
        <v>74</v>
      </c>
      <c r="T6" s="621" t="s">
        <v>76</v>
      </c>
      <c r="U6" s="622"/>
      <c r="V6" s="148"/>
      <c r="W6" s="27" t="s">
        <v>79</v>
      </c>
      <c r="X6" s="621" t="s">
        <v>77</v>
      </c>
      <c r="Y6" s="622"/>
      <c r="Z6" s="148"/>
      <c r="AA6" s="148"/>
      <c r="AB6" s="148"/>
      <c r="AC6" s="148"/>
      <c r="AD6" s="140"/>
      <c r="AE6" s="140"/>
      <c r="AF6" s="140"/>
      <c r="AG6" s="148"/>
      <c r="AI6" s="148"/>
      <c r="AJ6" s="231"/>
      <c r="AK6" s="231"/>
      <c r="AL6" s="231"/>
      <c r="AM6" s="231"/>
      <c r="AN6" s="231"/>
      <c r="AO6" s="231"/>
      <c r="AP6" s="231"/>
      <c r="AQ6" s="231"/>
      <c r="AR6" s="231"/>
      <c r="AS6" s="231"/>
      <c r="AT6" s="231"/>
      <c r="AU6" s="231"/>
      <c r="AV6" s="231"/>
      <c r="AW6" s="231"/>
      <c r="AX6" s="231"/>
      <c r="AY6" s="231"/>
      <c r="AZ6" s="231"/>
      <c r="BA6" s="158"/>
    </row>
    <row r="7" spans="1:53" ht="25.9" customHeight="1" thickTop="1" thickBot="1" x14ac:dyDescent="0.3">
      <c r="A7" s="148"/>
      <c r="B7" s="178"/>
      <c r="C7" s="623" t="str">
        <f>'EAMD Scorecard'!D8</f>
        <v>Businesses</v>
      </c>
      <c r="D7" s="624"/>
      <c r="E7" s="28" t="str">
        <f>Calculation!H3</f>
        <v/>
      </c>
      <c r="F7" s="140"/>
      <c r="G7" s="623" t="str">
        <f>'EAMD Scorecard'!D12</f>
        <v>Products / services sold</v>
      </c>
      <c r="H7" s="624"/>
      <c r="I7" s="28" t="str">
        <f>Calculation!H6</f>
        <v/>
      </c>
      <c r="J7" s="140"/>
      <c r="K7" s="623" t="str">
        <f>'EAMD Scorecard'!D17</f>
        <v>Profits and Investments</v>
      </c>
      <c r="L7" s="624"/>
      <c r="M7" s="28" t="str">
        <f>Calculation!H9</f>
        <v/>
      </c>
      <c r="N7" s="140"/>
      <c r="O7" s="623" t="str">
        <f>'EAMD Scorecard'!D18</f>
        <v>Length of supply chain</v>
      </c>
      <c r="P7" s="624"/>
      <c r="Q7" s="28" t="str">
        <f>Calculation!H10</f>
        <v/>
      </c>
      <c r="R7" s="140"/>
      <c r="S7" s="623" t="str">
        <f>'EAMD Scorecard'!D26</f>
        <v>Warranties</v>
      </c>
      <c r="T7" s="624"/>
      <c r="U7" s="28" t="str">
        <f>Calculation!H14</f>
        <v/>
      </c>
      <c r="V7" s="148"/>
      <c r="W7" s="623" t="str">
        <f>'EAMD Scorecard'!D27</f>
        <v>Business skills</v>
      </c>
      <c r="X7" s="624"/>
      <c r="Y7" s="28" t="str">
        <f>Calculation!H15</f>
        <v/>
      </c>
      <c r="Z7" s="148"/>
      <c r="AA7" s="148"/>
      <c r="AB7" s="148"/>
      <c r="AC7" s="148"/>
      <c r="AD7" s="140"/>
      <c r="AE7" s="140"/>
      <c r="AF7" s="140"/>
      <c r="AG7" s="148"/>
      <c r="AI7" s="148"/>
      <c r="AJ7" s="231"/>
      <c r="AK7" s="231"/>
      <c r="AL7" s="231"/>
      <c r="AM7" s="231"/>
      <c r="AN7" s="231"/>
      <c r="AO7" s="231"/>
      <c r="AP7" s="231"/>
      <c r="AQ7" s="231"/>
      <c r="AR7" s="231"/>
      <c r="AS7" s="231"/>
      <c r="AT7" s="231"/>
      <c r="AU7" s="231"/>
      <c r="AV7" s="231"/>
      <c r="AW7" s="231"/>
      <c r="AX7" s="231"/>
      <c r="AY7" s="231"/>
      <c r="AZ7" s="231"/>
      <c r="BA7" s="158"/>
    </row>
    <row r="8" spans="1:53" ht="25.9" customHeight="1" thickTop="1" thickBot="1" x14ac:dyDescent="0.3">
      <c r="A8" s="148"/>
      <c r="B8" s="178"/>
      <c r="C8" s="623" t="str">
        <f>'EAMD Scorecard'!D9</f>
        <v>Business modalities</v>
      </c>
      <c r="D8" s="624"/>
      <c r="E8" s="28" t="str">
        <f>Calculation!H4</f>
        <v/>
      </c>
      <c r="F8" s="140"/>
      <c r="G8" s="623" t="str">
        <f>'EAMD Scorecard'!D13</f>
        <v>Inventory turnover</v>
      </c>
      <c r="H8" s="624"/>
      <c r="I8" s="28" t="str">
        <f>Calculation!H7</f>
        <v/>
      </c>
      <c r="J8" s="140"/>
      <c r="K8" s="155"/>
      <c r="L8" s="155"/>
      <c r="M8" s="155"/>
      <c r="N8" s="155"/>
      <c r="O8" s="623" t="str">
        <f>'EAMD Scorecard'!D19</f>
        <v>Distribution channels</v>
      </c>
      <c r="P8" s="624"/>
      <c r="Q8" s="28" t="str">
        <f>Calculation!H11</f>
        <v/>
      </c>
      <c r="R8" s="140"/>
      <c r="S8" s="142"/>
      <c r="T8" s="142"/>
      <c r="U8" s="142"/>
      <c r="V8" s="140"/>
      <c r="W8" s="623" t="str">
        <f>'EAMD Scorecard'!D29</f>
        <v>Marketing skills</v>
      </c>
      <c r="X8" s="624"/>
      <c r="Y8" s="28" t="str">
        <f>Calculation!H16</f>
        <v/>
      </c>
      <c r="Z8" s="148"/>
      <c r="AA8" s="148"/>
      <c r="AB8" s="148"/>
      <c r="AC8" s="148"/>
      <c r="AD8" s="140"/>
      <c r="AE8" s="140"/>
      <c r="AF8" s="140"/>
      <c r="AG8" s="148"/>
      <c r="AI8" s="148"/>
      <c r="AJ8" s="231"/>
      <c r="AK8" s="231"/>
      <c r="AL8" s="231"/>
      <c r="AM8" s="231"/>
      <c r="AN8" s="231"/>
      <c r="AO8" s="231"/>
      <c r="AP8" s="231"/>
      <c r="AQ8" s="231"/>
      <c r="AR8" s="231"/>
      <c r="AS8" s="231"/>
      <c r="AT8" s="231"/>
      <c r="AU8" s="231"/>
      <c r="AV8" s="231"/>
      <c r="AW8" s="231"/>
      <c r="AX8" s="231"/>
      <c r="AY8" s="231"/>
      <c r="AZ8" s="231"/>
      <c r="BA8" s="158"/>
    </row>
    <row r="9" spans="1:53" ht="25.9" customHeight="1" thickTop="1" thickBot="1" x14ac:dyDescent="0.3">
      <c r="A9" s="148"/>
      <c r="B9" s="178"/>
      <c r="C9" s="623" t="str">
        <f>'EAMD Scorecard'!D10</f>
        <v>Formality</v>
      </c>
      <c r="D9" s="624"/>
      <c r="E9" s="28" t="str">
        <f>Calculation!H5</f>
        <v/>
      </c>
      <c r="F9" s="140"/>
      <c r="G9" s="155"/>
      <c r="H9" s="155"/>
      <c r="I9" s="155"/>
      <c r="J9" s="140"/>
      <c r="K9" s="155"/>
      <c r="L9" s="155"/>
      <c r="M9" s="155"/>
      <c r="N9" s="155"/>
      <c r="O9" s="623" t="str">
        <f>'EAMD Scorecard'!D21</f>
        <v>Initial suppliers</v>
      </c>
      <c r="P9" s="624"/>
      <c r="Q9" s="28" t="str">
        <f>Calculation!H12</f>
        <v/>
      </c>
      <c r="R9" s="140"/>
      <c r="S9" s="142"/>
      <c r="T9" s="142"/>
      <c r="U9" s="142"/>
      <c r="V9" s="148"/>
      <c r="W9" s="623" t="str">
        <f>'EAMD Scorecard'!D31</f>
        <v>Production skills</v>
      </c>
      <c r="X9" s="624"/>
      <c r="Y9" s="28" t="str">
        <f>Calculation!H17</f>
        <v/>
      </c>
      <c r="Z9" s="148"/>
      <c r="AA9" s="148"/>
      <c r="AB9" s="148"/>
      <c r="AC9" s="148"/>
      <c r="AD9" s="140"/>
      <c r="AE9" s="140"/>
      <c r="AF9" s="140"/>
      <c r="AG9" s="148"/>
      <c r="AI9" s="148"/>
      <c r="AJ9" s="231"/>
      <c r="AK9" s="231"/>
      <c r="AL9" s="231"/>
      <c r="AM9" s="231"/>
      <c r="AN9" s="231"/>
      <c r="AO9" s="231"/>
      <c r="AP9" s="231"/>
      <c r="AQ9" s="231"/>
      <c r="AR9" s="231"/>
      <c r="AS9" s="231"/>
      <c r="AT9" s="231"/>
      <c r="AU9" s="231"/>
      <c r="AV9" s="231"/>
      <c r="AW9" s="231"/>
      <c r="AX9" s="231"/>
      <c r="AY9" s="231"/>
      <c r="AZ9" s="231"/>
      <c r="BA9" s="158"/>
    </row>
    <row r="10" spans="1:53" ht="25.9" customHeight="1" thickTop="1" thickBot="1" x14ac:dyDescent="0.3">
      <c r="A10" s="148"/>
      <c r="B10" s="178"/>
      <c r="C10" s="623" t="str">
        <f>'EAMD Scorecard'!D11</f>
        <v>Jobs created</v>
      </c>
      <c r="D10" s="624"/>
      <c r="E10" s="28" t="str">
        <f>Calculation!H6</f>
        <v/>
      </c>
      <c r="F10" s="140"/>
      <c r="G10" s="155"/>
      <c r="H10" s="155"/>
      <c r="I10" s="155"/>
      <c r="J10" s="140"/>
      <c r="K10" s="155"/>
      <c r="L10" s="155"/>
      <c r="M10" s="155"/>
      <c r="N10" s="155"/>
      <c r="O10" s="623" t="str">
        <f>'EAMD Scorecard'!D22</f>
        <v>After-sales service providers</v>
      </c>
      <c r="P10" s="624"/>
      <c r="Q10" s="28" t="str">
        <f>Calculation!H13</f>
        <v/>
      </c>
      <c r="R10" s="140"/>
      <c r="S10" s="142"/>
      <c r="T10" s="142"/>
      <c r="U10" s="142"/>
      <c r="V10" s="148"/>
      <c r="W10" s="140"/>
      <c r="X10" s="140"/>
      <c r="Y10" s="140"/>
      <c r="Z10" s="148"/>
      <c r="AA10" s="148"/>
      <c r="AB10" s="148"/>
      <c r="AC10" s="148"/>
      <c r="AD10" s="140"/>
      <c r="AE10" s="140"/>
      <c r="AF10" s="140"/>
      <c r="AG10" s="148"/>
      <c r="AI10" s="148"/>
      <c r="AJ10" s="231"/>
      <c r="AK10" s="231"/>
      <c r="AL10" s="231"/>
      <c r="AM10" s="231"/>
      <c r="AN10" s="231"/>
      <c r="AO10" s="231"/>
      <c r="AP10" s="231"/>
      <c r="AQ10" s="231"/>
      <c r="AR10" s="231"/>
      <c r="AS10" s="231"/>
      <c r="AT10" s="231"/>
      <c r="AU10" s="231"/>
      <c r="AV10" s="231"/>
      <c r="AW10" s="231"/>
      <c r="AX10" s="231"/>
      <c r="AY10" s="231"/>
      <c r="AZ10" s="231"/>
      <c r="BA10" s="158"/>
    </row>
    <row r="11" spans="1:53" ht="16.5" customHeight="1" thickTop="1" thickBot="1" x14ac:dyDescent="0.4">
      <c r="A11" s="148"/>
      <c r="B11" s="178"/>
      <c r="C11" s="140"/>
      <c r="D11" s="140"/>
      <c r="E11" s="153"/>
      <c r="F11" s="140"/>
      <c r="G11" s="140"/>
      <c r="H11" s="140"/>
      <c r="I11" s="153"/>
      <c r="J11" s="140"/>
      <c r="K11" s="140"/>
      <c r="L11" s="140"/>
      <c r="M11" s="153"/>
      <c r="N11" s="140"/>
      <c r="O11" s="140"/>
      <c r="P11" s="140"/>
      <c r="Q11" s="153"/>
      <c r="R11" s="140"/>
      <c r="S11" s="140"/>
      <c r="T11" s="140"/>
      <c r="U11" s="153"/>
      <c r="V11" s="148"/>
      <c r="W11" s="148"/>
      <c r="X11" s="148"/>
      <c r="Y11" s="148"/>
      <c r="Z11" s="148"/>
      <c r="AA11" s="148"/>
      <c r="AB11" s="416"/>
      <c r="AC11" s="416"/>
      <c r="AD11" s="148"/>
      <c r="AE11" s="140"/>
      <c r="AF11" s="140"/>
      <c r="AG11" s="148"/>
      <c r="AI11" s="148"/>
      <c r="AJ11" s="231"/>
      <c r="AK11" s="231"/>
      <c r="AL11" s="231"/>
      <c r="AM11" s="231"/>
      <c r="AN11" s="231"/>
      <c r="AO11" s="231"/>
      <c r="AP11" s="231"/>
      <c r="AQ11" s="231"/>
      <c r="AR11" s="231"/>
      <c r="AS11" s="231"/>
      <c r="AT11" s="231"/>
      <c r="AU11" s="231"/>
      <c r="AV11" s="231"/>
      <c r="AW11" s="231"/>
      <c r="AX11" s="231"/>
      <c r="AY11" s="231"/>
      <c r="AZ11" s="231"/>
      <c r="BA11" s="158"/>
    </row>
    <row r="12" spans="1:53" ht="25.9" customHeight="1" thickTop="1" thickBot="1" x14ac:dyDescent="0.3">
      <c r="A12" s="148"/>
      <c r="B12" s="178"/>
      <c r="C12" s="27" t="s">
        <v>81</v>
      </c>
      <c r="D12" s="621" t="s">
        <v>82</v>
      </c>
      <c r="E12" s="622"/>
      <c r="F12" s="140"/>
      <c r="G12" s="27" t="s">
        <v>83</v>
      </c>
      <c r="H12" s="621" t="s">
        <v>84</v>
      </c>
      <c r="I12" s="622"/>
      <c r="J12" s="140"/>
      <c r="K12" s="27" t="s">
        <v>85</v>
      </c>
      <c r="L12" s="621" t="s">
        <v>86</v>
      </c>
      <c r="M12" s="622"/>
      <c r="N12" s="140"/>
      <c r="O12" s="27" t="s">
        <v>87</v>
      </c>
      <c r="P12" s="621" t="s">
        <v>88</v>
      </c>
      <c r="Q12" s="622"/>
      <c r="R12" s="151"/>
      <c r="S12" s="27" t="s">
        <v>89</v>
      </c>
      <c r="T12" s="621" t="s">
        <v>90</v>
      </c>
      <c r="U12" s="622"/>
      <c r="V12" s="148"/>
      <c r="W12" s="27" t="s">
        <v>91</v>
      </c>
      <c r="X12" s="621" t="s">
        <v>92</v>
      </c>
      <c r="Y12" s="622"/>
      <c r="Z12" s="148"/>
      <c r="AA12" s="27" t="s">
        <v>757</v>
      </c>
      <c r="AB12" s="625" t="s">
        <v>765</v>
      </c>
      <c r="AC12" s="625"/>
      <c r="AD12" s="417"/>
      <c r="AE12" s="140"/>
      <c r="AF12" s="140"/>
      <c r="AG12" s="148"/>
      <c r="AI12" s="148"/>
      <c r="AJ12" s="231"/>
      <c r="AK12" s="231"/>
      <c r="AL12" s="231"/>
      <c r="AM12" s="231"/>
      <c r="AN12" s="231"/>
      <c r="AO12" s="231"/>
      <c r="AP12" s="231"/>
      <c r="AQ12" s="231"/>
      <c r="AR12" s="231"/>
      <c r="AS12" s="231"/>
      <c r="AT12" s="231"/>
      <c r="AU12" s="231"/>
      <c r="AV12" s="231"/>
      <c r="AW12" s="231"/>
      <c r="AX12" s="231"/>
      <c r="AY12" s="231"/>
      <c r="AZ12" s="231"/>
      <c r="BA12" s="158"/>
    </row>
    <row r="13" spans="1:53" ht="25.9" customHeight="1" thickTop="1" thickBot="1" x14ac:dyDescent="0.3">
      <c r="A13" s="148"/>
      <c r="B13" s="178"/>
      <c r="C13" s="623" t="str">
        <f>'EAMD Scorecard'!D37</f>
        <v>Diversity</v>
      </c>
      <c r="D13" s="624"/>
      <c r="E13" s="28" t="str">
        <f>Calculation!H18</f>
        <v/>
      </c>
      <c r="F13" s="140"/>
      <c r="G13" s="623" t="str">
        <f>'EAMD Scorecard'!D38</f>
        <v>Market share / Technology adopters</v>
      </c>
      <c r="H13" s="624"/>
      <c r="I13" s="28" t="str">
        <f>Calculation!H19</f>
        <v/>
      </c>
      <c r="J13" s="140"/>
      <c r="K13" s="623" t="str">
        <f>'EAMD Scorecard'!D39</f>
        <v xml:space="preserve">Willingness to pay </v>
      </c>
      <c r="L13" s="624"/>
      <c r="M13" s="28" t="str">
        <f>Calculation!H20</f>
        <v/>
      </c>
      <c r="N13" s="140"/>
      <c r="O13" s="623" t="str">
        <f>'EAMD Scorecard'!D40</f>
        <v>Usage rate</v>
      </c>
      <c r="P13" s="624"/>
      <c r="Q13" s="28" t="str">
        <f>Calculation!H21</f>
        <v/>
      </c>
      <c r="R13" s="152"/>
      <c r="S13" s="623" t="str">
        <f>'EAMD Scorecard'!D42</f>
        <v>Replacement rate</v>
      </c>
      <c r="T13" s="624"/>
      <c r="U13" s="28" t="str">
        <f>Calculation!H22</f>
        <v/>
      </c>
      <c r="V13" s="148"/>
      <c r="W13" s="623" t="str">
        <f>'EAMD Scorecard'!D44</f>
        <v>Awareness</v>
      </c>
      <c r="X13" s="624"/>
      <c r="Y13" s="28" t="str">
        <f>Calculation!H23</f>
        <v/>
      </c>
      <c r="Z13" s="148"/>
      <c r="AA13" s="626" t="str">
        <f>'EAMD Scorecard'!D64</f>
        <v>Sales volume of productive use market(s)</v>
      </c>
      <c r="AB13" s="627"/>
      <c r="AC13" s="415" t="str">
        <f>Calculation!H25</f>
        <v/>
      </c>
      <c r="AD13" s="418"/>
      <c r="AE13" s="140"/>
      <c r="AF13" s="140"/>
      <c r="AG13" s="148"/>
      <c r="AI13" s="148"/>
      <c r="AJ13" s="231"/>
      <c r="AK13" s="231"/>
      <c r="AL13" s="231"/>
      <c r="AM13" s="231"/>
      <c r="AN13" s="231"/>
      <c r="AO13" s="231"/>
      <c r="AP13" s="231"/>
      <c r="AQ13" s="231"/>
      <c r="AR13" s="231"/>
      <c r="AS13" s="231"/>
      <c r="AT13" s="231"/>
      <c r="AU13" s="231"/>
      <c r="AV13" s="231"/>
      <c r="AW13" s="231"/>
      <c r="AX13" s="231"/>
      <c r="AY13" s="231"/>
      <c r="AZ13" s="231"/>
      <c r="BA13" s="158"/>
    </row>
    <row r="14" spans="1:53" ht="25.9" customHeight="1" thickTop="1" thickBot="1" x14ac:dyDescent="0.3">
      <c r="A14" s="148"/>
      <c r="B14" s="178"/>
      <c r="C14" s="154"/>
      <c r="D14" s="154"/>
      <c r="E14" s="154"/>
      <c r="F14" s="140"/>
      <c r="G14" s="154"/>
      <c r="H14" s="154"/>
      <c r="I14" s="155"/>
      <c r="J14" s="140"/>
      <c r="K14" s="154"/>
      <c r="L14" s="154"/>
      <c r="M14" s="154"/>
      <c r="N14" s="140"/>
      <c r="O14" s="155"/>
      <c r="P14" s="155"/>
      <c r="Q14" s="155"/>
      <c r="R14" s="152"/>
      <c r="S14" s="142"/>
      <c r="T14" s="142"/>
      <c r="U14" s="142"/>
      <c r="V14" s="148"/>
      <c r="W14" s="623" t="str">
        <f>'EAMD Scorecard'!D45</f>
        <v>Perception</v>
      </c>
      <c r="X14" s="624"/>
      <c r="Y14" s="28" t="str">
        <f>Calculation!H24</f>
        <v/>
      </c>
      <c r="Z14" s="148"/>
      <c r="AA14" s="626" t="str">
        <f>'EAMD Scorecard'!D65</f>
        <v>Economic capacity to invest in productive use</v>
      </c>
      <c r="AB14" s="627"/>
      <c r="AC14" s="415" t="str">
        <f>Calculation!H26</f>
        <v/>
      </c>
      <c r="AD14" s="418"/>
      <c r="AE14" s="140"/>
      <c r="AF14" s="140"/>
      <c r="AG14" s="148"/>
      <c r="AI14" s="148"/>
      <c r="AJ14" s="231"/>
      <c r="AK14" s="231"/>
      <c r="AL14" s="231"/>
      <c r="AM14" s="231"/>
      <c r="AN14" s="231"/>
      <c r="AO14" s="231"/>
      <c r="AP14" s="231"/>
      <c r="AQ14" s="231"/>
      <c r="AR14" s="231"/>
      <c r="AS14" s="231"/>
      <c r="AT14" s="231"/>
      <c r="AU14" s="231"/>
      <c r="AV14" s="231"/>
      <c r="AW14" s="231"/>
      <c r="AX14" s="231"/>
      <c r="AY14" s="231"/>
      <c r="AZ14" s="231"/>
      <c r="BA14" s="158"/>
    </row>
    <row r="15" spans="1:53" ht="20.25" customHeight="1" thickTop="1" thickBot="1" x14ac:dyDescent="0.4">
      <c r="A15" s="148"/>
      <c r="B15" s="178"/>
      <c r="C15" s="140"/>
      <c r="D15" s="140"/>
      <c r="E15" s="153"/>
      <c r="F15" s="140"/>
      <c r="G15" s="140"/>
      <c r="H15" s="140"/>
      <c r="I15" s="153"/>
      <c r="J15" s="140"/>
      <c r="K15" s="140"/>
      <c r="L15" s="140"/>
      <c r="M15" s="153"/>
      <c r="N15" s="140"/>
      <c r="O15" s="140"/>
      <c r="P15" s="140"/>
      <c r="Q15" s="153"/>
      <c r="R15" s="140"/>
      <c r="S15" s="140"/>
      <c r="T15" s="140"/>
      <c r="U15" s="153"/>
      <c r="V15" s="148"/>
      <c r="W15" s="148"/>
      <c r="X15" s="148"/>
      <c r="Y15" s="148"/>
      <c r="Z15" s="148"/>
      <c r="AA15" s="148"/>
      <c r="AB15" s="148"/>
      <c r="AC15" s="148"/>
      <c r="AD15" s="148"/>
      <c r="AE15" s="140"/>
      <c r="AF15" s="140"/>
      <c r="AG15" s="148"/>
      <c r="AI15" s="148"/>
      <c r="AJ15" s="231"/>
      <c r="AK15" s="231"/>
      <c r="AL15" s="231"/>
      <c r="AM15" s="231"/>
      <c r="AN15" s="231"/>
      <c r="AO15" s="231"/>
      <c r="AP15" s="231"/>
      <c r="AQ15" s="231"/>
      <c r="AR15" s="231"/>
      <c r="AS15" s="231"/>
      <c r="AT15" s="231"/>
      <c r="AU15" s="231"/>
      <c r="AV15" s="231"/>
      <c r="AW15" s="231"/>
      <c r="AX15" s="231"/>
      <c r="AY15" s="231"/>
      <c r="AZ15" s="231"/>
      <c r="BA15" s="158"/>
    </row>
    <row r="16" spans="1:53" ht="25.9" customHeight="1" thickTop="1" thickBot="1" x14ac:dyDescent="0.4">
      <c r="A16" s="148"/>
      <c r="B16" s="178"/>
      <c r="C16" s="27" t="s">
        <v>93</v>
      </c>
      <c r="D16" s="621" t="s">
        <v>94</v>
      </c>
      <c r="E16" s="622"/>
      <c r="F16" s="140"/>
      <c r="G16" s="27" t="s">
        <v>95</v>
      </c>
      <c r="H16" s="621" t="s">
        <v>96</v>
      </c>
      <c r="I16" s="622"/>
      <c r="J16" s="140"/>
      <c r="K16" s="27" t="s">
        <v>97</v>
      </c>
      <c r="L16" s="621" t="s">
        <v>98</v>
      </c>
      <c r="M16" s="622"/>
      <c r="N16" s="140"/>
      <c r="O16" s="27" t="s">
        <v>99</v>
      </c>
      <c r="P16" s="621" t="s">
        <v>100</v>
      </c>
      <c r="Q16" s="622"/>
      <c r="R16" s="140"/>
      <c r="S16" s="27" t="s">
        <v>101</v>
      </c>
      <c r="T16" s="621" t="s">
        <v>102</v>
      </c>
      <c r="U16" s="622"/>
      <c r="V16" s="148"/>
      <c r="W16" s="148"/>
      <c r="X16" s="148"/>
      <c r="Y16" s="148"/>
      <c r="Z16" s="148"/>
      <c r="AA16" s="148"/>
      <c r="AB16" s="148"/>
      <c r="AC16" s="148"/>
      <c r="AD16" s="148"/>
      <c r="AE16" s="140"/>
      <c r="AF16" s="140"/>
      <c r="AG16" s="148"/>
      <c r="AI16" s="148"/>
      <c r="AJ16" s="231"/>
      <c r="AK16" s="231"/>
      <c r="AL16" s="231"/>
      <c r="AM16" s="232"/>
      <c r="AN16" s="232"/>
      <c r="AO16" s="231"/>
      <c r="AP16" s="231"/>
      <c r="AQ16" s="231"/>
      <c r="AR16" s="231"/>
      <c r="AS16" s="231"/>
      <c r="AT16" s="231"/>
      <c r="AU16" s="231"/>
      <c r="AV16" s="231"/>
      <c r="AW16" s="231"/>
      <c r="AX16" s="231"/>
      <c r="AY16" s="231"/>
      <c r="AZ16" s="231"/>
      <c r="BA16" s="158"/>
    </row>
    <row r="17" spans="1:56" ht="25.9" customHeight="1" thickTop="1" thickBot="1" x14ac:dyDescent="0.4">
      <c r="A17" s="148"/>
      <c r="B17" s="178"/>
      <c r="C17" s="623" t="str">
        <f>'EAMD Scorecard'!D48</f>
        <v>National plans</v>
      </c>
      <c r="D17" s="624"/>
      <c r="E17" s="28" t="str">
        <f>Calculation!H26</f>
        <v/>
      </c>
      <c r="F17" s="140"/>
      <c r="G17" s="623" t="str">
        <f>'EAMD Scorecard'!D52</f>
        <v>Subsidies</v>
      </c>
      <c r="H17" s="624"/>
      <c r="I17" s="71" t="str">
        <f>Calculation!H27</f>
        <v/>
      </c>
      <c r="J17" s="140"/>
      <c r="K17" s="628" t="str">
        <f>'EAMD Scorecard'!D55</f>
        <v>Regulation, Norms and standards</v>
      </c>
      <c r="L17" s="629"/>
      <c r="M17" s="71" t="str">
        <f>Calculation!H30</f>
        <v/>
      </c>
      <c r="N17" s="140"/>
      <c r="O17" s="623" t="str">
        <f>'EAMD Scorecard'!D57</f>
        <v>Market information</v>
      </c>
      <c r="P17" s="624"/>
      <c r="Q17" s="71" t="str">
        <f>Calculation!H31</f>
        <v/>
      </c>
      <c r="R17" s="140"/>
      <c r="S17" s="623" t="str">
        <f>'EAMD Scorecard'!D60</f>
        <v>Technical courses</v>
      </c>
      <c r="T17" s="624"/>
      <c r="U17" s="71" t="str">
        <f>Calculation!H34</f>
        <v/>
      </c>
      <c r="V17" s="148"/>
      <c r="W17" s="148"/>
      <c r="X17" s="148"/>
      <c r="Y17" s="148"/>
      <c r="Z17" s="148"/>
      <c r="AA17" s="148"/>
      <c r="AB17" s="148"/>
      <c r="AC17" s="148"/>
      <c r="AD17" s="148"/>
      <c r="AE17" s="148"/>
      <c r="AF17" s="148"/>
      <c r="AG17" s="148"/>
      <c r="AI17" s="148"/>
      <c r="AJ17" s="231"/>
      <c r="AK17" s="231"/>
      <c r="AL17" s="231"/>
      <c r="AM17" s="231"/>
      <c r="AN17" s="231"/>
      <c r="AO17" s="231"/>
      <c r="AP17" s="231"/>
      <c r="AQ17" s="231"/>
      <c r="AR17" s="231"/>
      <c r="AS17" s="231"/>
      <c r="AT17" s="231"/>
      <c r="AU17" s="231"/>
      <c r="AV17" s="231"/>
      <c r="AW17" s="231"/>
      <c r="AX17" s="232"/>
      <c r="AY17" s="231"/>
      <c r="AZ17" s="231"/>
      <c r="BA17" s="158"/>
    </row>
    <row r="18" spans="1:56" ht="25.9" customHeight="1" thickTop="1" thickBot="1" x14ac:dyDescent="0.3">
      <c r="A18" s="148"/>
      <c r="B18" s="178"/>
      <c r="C18" s="623" t="str">
        <f>'EAMD Scorecard'!D49</f>
        <v>Policy</v>
      </c>
      <c r="D18" s="624"/>
      <c r="E18" s="28" t="str">
        <f>Calculation!H27</f>
        <v/>
      </c>
      <c r="F18" s="140"/>
      <c r="G18" s="623" t="str">
        <f>'EAMD Scorecard'!D53</f>
        <v>Financing options and investments by suppliers</v>
      </c>
      <c r="H18" s="624"/>
      <c r="I18" s="71" t="str">
        <f>Calculation!H28</f>
        <v/>
      </c>
      <c r="J18" s="140"/>
      <c r="K18" s="628" t="str">
        <f>'EAMD Scorecard'!D56</f>
        <v>Enforcement</v>
      </c>
      <c r="L18" s="629"/>
      <c r="M18" s="71" t="str">
        <f>Calculation!H31</f>
        <v/>
      </c>
      <c r="N18" s="140"/>
      <c r="O18" s="623" t="str">
        <f>'EAMD Scorecard'!D58</f>
        <v>Market facilitation organisations</v>
      </c>
      <c r="P18" s="624"/>
      <c r="Q18" s="71" t="str">
        <f>Calculation!H32</f>
        <v/>
      </c>
      <c r="R18" s="140"/>
      <c r="S18" s="623" t="str">
        <f>'EAMD Scorecard'!D61</f>
        <v>Business Development Training</v>
      </c>
      <c r="T18" s="624"/>
      <c r="U18" s="71" t="str">
        <f>Calculation!H35</f>
        <v/>
      </c>
      <c r="V18" s="148"/>
      <c r="W18" s="148"/>
      <c r="X18" s="148"/>
      <c r="Y18" s="148"/>
      <c r="Z18" s="148"/>
      <c r="AA18" s="148"/>
      <c r="AB18" s="148"/>
      <c r="AC18" s="148"/>
      <c r="AD18" s="148"/>
      <c r="AE18" s="148"/>
      <c r="AF18" s="148"/>
      <c r="AG18" s="148"/>
      <c r="AI18" s="148"/>
      <c r="AJ18" s="231"/>
      <c r="AK18" s="231"/>
      <c r="AL18" s="231"/>
      <c r="AM18" s="231"/>
      <c r="AN18" s="231"/>
      <c r="AO18" s="231"/>
      <c r="AP18" s="231"/>
      <c r="AQ18" s="231"/>
      <c r="AR18" s="231"/>
      <c r="AS18" s="231"/>
      <c r="AT18" s="231"/>
      <c r="AU18" s="231"/>
      <c r="AV18" s="231"/>
      <c r="AW18" s="231"/>
      <c r="AX18" s="231"/>
      <c r="AY18" s="231"/>
      <c r="AZ18" s="231"/>
      <c r="BA18" s="158"/>
    </row>
    <row r="19" spans="1:56" ht="25.9" customHeight="1" thickTop="1" thickBot="1" x14ac:dyDescent="0.3">
      <c r="A19" s="148"/>
      <c r="B19" s="178"/>
      <c r="C19" s="623" t="str">
        <f>'EAMD Scorecard'!D50</f>
        <v>Product taxes</v>
      </c>
      <c r="D19" s="624"/>
      <c r="E19" s="28" t="str">
        <f>Calculation!H28</f>
        <v/>
      </c>
      <c r="F19" s="140"/>
      <c r="G19" s="623" t="str">
        <f>'EAMD Scorecard'!D54</f>
        <v>Financing options for consumers</v>
      </c>
      <c r="H19" s="624"/>
      <c r="I19" s="71" t="str">
        <f>Calculation!H29</f>
        <v/>
      </c>
      <c r="J19" s="140"/>
      <c r="K19" s="156"/>
      <c r="L19" s="156"/>
      <c r="M19" s="156"/>
      <c r="N19" s="140"/>
      <c r="O19" s="623" t="str">
        <f>'EAMD Scorecard'!D59</f>
        <v>Awareness campaigns</v>
      </c>
      <c r="P19" s="624"/>
      <c r="Q19" s="71" t="str">
        <f>Calculation!H33</f>
        <v/>
      </c>
      <c r="R19" s="140"/>
      <c r="S19" s="623" t="str">
        <f>'EAMD Scorecard'!D62</f>
        <v>User training</v>
      </c>
      <c r="T19" s="624"/>
      <c r="U19" s="71" t="str">
        <f>Calculation!H36</f>
        <v/>
      </c>
      <c r="V19" s="148"/>
      <c r="W19" s="148"/>
      <c r="X19" s="148"/>
      <c r="Y19" s="148"/>
      <c r="Z19" s="148"/>
      <c r="AA19" s="148"/>
      <c r="AB19" s="148"/>
      <c r="AC19" s="148"/>
      <c r="AD19" s="148"/>
      <c r="AE19" s="148"/>
      <c r="AF19" s="148"/>
      <c r="AG19" s="148"/>
      <c r="AI19" s="148"/>
      <c r="AJ19" s="231"/>
      <c r="AK19" s="231"/>
      <c r="AL19" s="231"/>
      <c r="AM19" s="231"/>
      <c r="AN19" s="231"/>
      <c r="AO19" s="231"/>
      <c r="AP19" s="231"/>
      <c r="AQ19" s="231"/>
      <c r="AR19" s="231"/>
      <c r="AS19" s="231"/>
      <c r="AT19" s="231"/>
      <c r="AU19" s="231"/>
      <c r="AV19" s="231"/>
      <c r="AW19" s="231"/>
      <c r="AX19" s="231"/>
      <c r="AY19" s="231"/>
      <c r="AZ19" s="231"/>
      <c r="BA19" s="158"/>
    </row>
    <row r="20" spans="1:56" ht="25.9" customHeight="1" thickTop="1" x14ac:dyDescent="0.25">
      <c r="A20" s="148"/>
      <c r="B20" s="178"/>
      <c r="C20" s="154"/>
      <c r="D20" s="154"/>
      <c r="E20" s="154"/>
      <c r="F20" s="140"/>
      <c r="G20" s="154"/>
      <c r="H20" s="154"/>
      <c r="I20" s="154"/>
      <c r="J20" s="140"/>
      <c r="K20" s="155"/>
      <c r="L20" s="155"/>
      <c r="M20" s="155"/>
      <c r="N20" s="140"/>
      <c r="O20" s="154"/>
      <c r="P20" s="154"/>
      <c r="Q20" s="154"/>
      <c r="R20" s="140"/>
      <c r="S20" s="154"/>
      <c r="T20" s="154"/>
      <c r="U20" s="154"/>
      <c r="V20" s="148"/>
      <c r="W20" s="148"/>
      <c r="X20" s="148"/>
      <c r="Y20" s="148"/>
      <c r="Z20" s="148"/>
      <c r="AA20" s="148"/>
      <c r="AB20" s="148"/>
      <c r="AC20" s="148"/>
      <c r="AD20" s="148"/>
      <c r="AE20" s="148"/>
      <c r="AF20" s="148"/>
      <c r="AG20" s="148"/>
      <c r="AI20" s="148"/>
      <c r="AJ20" s="231"/>
      <c r="AK20" s="231"/>
      <c r="AL20" s="231"/>
      <c r="AM20" s="231"/>
      <c r="AN20" s="231"/>
      <c r="AO20" s="231"/>
      <c r="AP20" s="231"/>
      <c r="AQ20" s="231"/>
      <c r="AR20" s="231"/>
      <c r="AS20" s="231"/>
      <c r="AT20" s="231"/>
      <c r="AU20" s="231"/>
      <c r="AV20" s="231"/>
      <c r="AW20" s="231"/>
      <c r="AX20" s="231"/>
      <c r="AY20" s="231"/>
      <c r="AZ20" s="231"/>
      <c r="BA20" s="158"/>
    </row>
    <row r="21" spans="1:56" ht="6" customHeight="1" x14ac:dyDescent="0.35">
      <c r="A21" s="148"/>
      <c r="B21" s="178"/>
      <c r="C21" s="140"/>
      <c r="D21" s="140"/>
      <c r="E21" s="153"/>
      <c r="F21" s="140"/>
      <c r="G21" s="140"/>
      <c r="H21" s="140"/>
      <c r="I21" s="153"/>
      <c r="J21" s="140"/>
      <c r="K21" s="140"/>
      <c r="L21" s="140"/>
      <c r="M21" s="153"/>
      <c r="N21" s="140"/>
      <c r="O21" s="140"/>
      <c r="P21" s="140"/>
      <c r="Q21" s="153"/>
      <c r="R21" s="140"/>
      <c r="S21" s="140"/>
      <c r="T21" s="140"/>
      <c r="U21" s="153"/>
      <c r="V21" s="148"/>
      <c r="W21" s="148"/>
      <c r="X21" s="148"/>
      <c r="Y21" s="148"/>
      <c r="Z21" s="148"/>
      <c r="AA21" s="148"/>
      <c r="AB21" s="329"/>
      <c r="AC21" s="329"/>
      <c r="AD21" s="329"/>
      <c r="AE21" s="329"/>
      <c r="AF21" s="329"/>
      <c r="AG21" s="148"/>
      <c r="AI21" s="148"/>
      <c r="AJ21" s="231"/>
      <c r="AK21" s="231"/>
      <c r="AL21" s="231"/>
      <c r="AM21" s="231"/>
      <c r="AN21" s="231"/>
      <c r="AO21" s="231"/>
      <c r="AP21" s="231"/>
      <c r="AQ21" s="231"/>
      <c r="AR21" s="231"/>
      <c r="AS21" s="231"/>
      <c r="AT21" s="231"/>
      <c r="AU21" s="231"/>
      <c r="AV21" s="231"/>
      <c r="AW21" s="231"/>
      <c r="AX21" s="231"/>
      <c r="AY21" s="231"/>
      <c r="AZ21" s="231"/>
      <c r="BA21" s="158"/>
    </row>
    <row r="22" spans="1:56" ht="6" customHeight="1" x14ac:dyDescent="0.25">
      <c r="A22" s="148"/>
      <c r="B22" s="180"/>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329"/>
      <c r="AC22" s="329"/>
      <c r="AD22" s="329"/>
      <c r="AE22" s="329"/>
      <c r="AF22" s="329"/>
      <c r="AG22" s="148"/>
      <c r="AI22" s="148"/>
      <c r="AJ22" s="231"/>
      <c r="AK22" s="231"/>
      <c r="AL22" s="231"/>
      <c r="AM22" s="231"/>
      <c r="AN22" s="231"/>
      <c r="AO22" s="231"/>
      <c r="AP22" s="231"/>
      <c r="AQ22" s="231"/>
      <c r="AR22" s="231"/>
      <c r="AS22" s="231"/>
      <c r="AT22" s="231"/>
      <c r="AU22" s="231"/>
      <c r="AV22" s="231"/>
      <c r="AW22" s="231"/>
      <c r="AX22" s="231"/>
      <c r="AY22" s="231"/>
      <c r="AZ22" s="231"/>
      <c r="BA22" s="158"/>
    </row>
    <row r="23" spans="1:56" ht="28.5" customHeight="1" x14ac:dyDescent="0.25">
      <c r="A23" s="148"/>
      <c r="B23" s="148"/>
      <c r="C23" s="9"/>
      <c r="D23" s="9"/>
      <c r="E23" s="9"/>
      <c r="F23" s="9"/>
      <c r="G23" s="9"/>
      <c r="H23" s="23"/>
      <c r="I23" s="23"/>
      <c r="J23" s="23"/>
      <c r="K23" s="23"/>
      <c r="L23" s="23" t="s">
        <v>103</v>
      </c>
      <c r="M23" s="23"/>
      <c r="N23" s="23"/>
      <c r="O23" s="23"/>
      <c r="P23" s="23"/>
      <c r="Q23" s="23"/>
      <c r="R23" s="23"/>
      <c r="S23" s="9"/>
      <c r="T23" s="9"/>
      <c r="U23" s="9"/>
      <c r="V23" s="9"/>
      <c r="W23" s="9"/>
      <c r="X23" s="9"/>
      <c r="Y23" s="9"/>
      <c r="Z23" s="9"/>
      <c r="AA23" s="9"/>
      <c r="AB23" s="9"/>
      <c r="AC23" s="9"/>
      <c r="AD23" s="9"/>
      <c r="AE23" s="9"/>
      <c r="AF23" s="9"/>
      <c r="AG23" s="148"/>
      <c r="AI23" s="148"/>
      <c r="AJ23" s="231"/>
      <c r="AK23" s="231"/>
      <c r="AL23" s="231"/>
      <c r="AM23" s="231"/>
      <c r="AN23" s="231"/>
      <c r="AO23" s="231"/>
      <c r="AP23" s="231"/>
      <c r="AQ23" s="231"/>
      <c r="AR23" s="231"/>
      <c r="AS23" s="231"/>
      <c r="AT23" s="231"/>
      <c r="AU23" s="231"/>
      <c r="AV23" s="231"/>
      <c r="AW23" s="231"/>
      <c r="AX23" s="231"/>
      <c r="AY23" s="231"/>
      <c r="AZ23" s="231"/>
      <c r="BA23" s="158"/>
    </row>
    <row r="24" spans="1:56" ht="25.9" customHeight="1" x14ac:dyDescent="0.25">
      <c r="A24" s="148"/>
      <c r="B24" s="148"/>
      <c r="C24" s="631" t="s">
        <v>104</v>
      </c>
      <c r="D24" s="631"/>
      <c r="E24" s="631"/>
      <c r="F24" s="631"/>
      <c r="G24" s="631"/>
      <c r="H24" s="631"/>
      <c r="I24" s="631"/>
      <c r="J24" s="631"/>
      <c r="K24" s="631"/>
      <c r="L24" s="420"/>
      <c r="M24" s="631" t="s">
        <v>774</v>
      </c>
      <c r="N24" s="631"/>
      <c r="O24" s="631"/>
      <c r="P24" s="631"/>
      <c r="Q24" s="631"/>
      <c r="R24" s="631"/>
      <c r="S24" s="631"/>
      <c r="T24" s="631"/>
      <c r="U24" s="631"/>
      <c r="V24" s="420"/>
      <c r="W24" s="420"/>
      <c r="X24" s="642" t="s">
        <v>105</v>
      </c>
      <c r="Y24" s="642"/>
      <c r="Z24" s="642"/>
      <c r="AA24" s="642"/>
      <c r="AB24" s="642"/>
      <c r="AC24" s="642"/>
      <c r="AD24" s="642"/>
      <c r="AE24" s="642"/>
      <c r="AF24" s="211"/>
      <c r="AG24" s="148"/>
      <c r="AI24" s="148"/>
      <c r="AJ24" s="231"/>
      <c r="AK24" s="231"/>
      <c r="AL24" s="231"/>
      <c r="AM24" s="231"/>
      <c r="AN24" s="231"/>
      <c r="AO24" s="231"/>
      <c r="AP24" s="231"/>
      <c r="AQ24" s="231"/>
      <c r="AR24" s="231"/>
      <c r="AS24" s="231"/>
      <c r="AT24" s="231"/>
      <c r="AU24" s="231"/>
      <c r="AV24" s="231"/>
      <c r="AW24" s="231"/>
      <c r="AX24" s="231"/>
      <c r="AY24" s="231"/>
      <c r="AZ24" s="231"/>
      <c r="BA24" s="158"/>
    </row>
    <row r="25" spans="1:56" ht="9" customHeight="1" x14ac:dyDescent="0.25">
      <c r="A25" s="148"/>
      <c r="B25" s="148"/>
      <c r="C25" s="9"/>
      <c r="D25" s="9"/>
      <c r="E25" s="9"/>
      <c r="F25" s="9"/>
      <c r="G25" s="9"/>
      <c r="H25" s="23"/>
      <c r="I25" s="23"/>
      <c r="J25" s="23"/>
      <c r="K25" s="23"/>
      <c r="L25" s="23"/>
      <c r="M25" s="23"/>
      <c r="N25" s="23"/>
      <c r="O25" s="23"/>
      <c r="P25" s="23"/>
      <c r="Q25" s="23"/>
      <c r="R25" s="23"/>
      <c r="S25" s="9"/>
      <c r="T25" s="9"/>
      <c r="U25" s="9"/>
      <c r="V25" s="9"/>
      <c r="W25" s="9"/>
      <c r="X25" s="9"/>
      <c r="Y25" s="9"/>
      <c r="Z25" s="9"/>
      <c r="AA25" s="9"/>
      <c r="AB25" s="9"/>
      <c r="AC25" s="9"/>
      <c r="AD25" s="9"/>
      <c r="AE25" s="9"/>
      <c r="AF25" s="9"/>
      <c r="AG25" s="148"/>
      <c r="AI25" s="148"/>
      <c r="AJ25" s="231"/>
      <c r="AK25" s="231"/>
      <c r="AL25" s="231"/>
      <c r="AM25" s="231"/>
      <c r="AN25" s="231"/>
      <c r="AO25" s="231"/>
      <c r="AP25" s="231"/>
      <c r="AQ25" s="231"/>
      <c r="AR25" s="231"/>
      <c r="AS25" s="231"/>
      <c r="AT25" s="231"/>
      <c r="AU25" s="231"/>
      <c r="AV25" s="231"/>
      <c r="AW25" s="231"/>
      <c r="AX25" s="231"/>
      <c r="AY25" s="231"/>
      <c r="AZ25" s="231"/>
      <c r="BA25" s="158"/>
    </row>
    <row r="26" spans="1:56" ht="30.75" customHeight="1" x14ac:dyDescent="0.25">
      <c r="A26" s="148"/>
      <c r="B26" s="148"/>
      <c r="C26" s="9"/>
      <c r="D26" s="633" t="str">
        <f>IF(Calculation!N3&gt;0,Calculation!N3,"")</f>
        <v/>
      </c>
      <c r="E26" s="633"/>
      <c r="F26" s="633"/>
      <c r="G26" s="633"/>
      <c r="H26" s="633"/>
      <c r="I26" s="633"/>
      <c r="J26" s="633"/>
      <c r="K26" s="432" t="e">
        <f>IF(Calculation!N3&gt;0,VLOOKUP(D26,Calculation!E$3:H$50,4,FALSE),"")</f>
        <v>#N/A</v>
      </c>
      <c r="L26" s="430" t="e">
        <f>IF(Calculation!N3&gt;0,VLOOKUP(D26,Calculation!E$3:H$50,2,FALSE),"")</f>
        <v>#N/A</v>
      </c>
      <c r="M26" s="630" t="str">
        <f>IF(Calculation!P3&gt;0,Calculation!P3,"")</f>
        <v/>
      </c>
      <c r="N26" s="630"/>
      <c r="O26" s="630"/>
      <c r="P26" s="630"/>
      <c r="Q26" s="630"/>
      <c r="R26" s="630"/>
      <c r="S26" s="630"/>
      <c r="T26" s="630"/>
      <c r="U26" s="432" t="e">
        <f>IF(Calculation!P3&gt;0,VLOOKUP(M26,Calculation!E$3:H$50,4,FALSE),"")</f>
        <v>#N/A</v>
      </c>
      <c r="V26" s="431" t="e">
        <f>IF(Calculation!P3&gt;0,VLOOKUP(M26,Calculation!E$3:H$50,2,FALSE),"")</f>
        <v>#N/A</v>
      </c>
      <c r="W26" s="421"/>
      <c r="X26" s="634" t="str">
        <f>Calculation!R3</f>
        <v/>
      </c>
      <c r="Y26" s="634"/>
      <c r="Z26" s="634"/>
      <c r="AA26" s="634"/>
      <c r="AB26" s="634"/>
      <c r="AC26" s="634"/>
      <c r="AD26" s="634"/>
      <c r="AE26" s="634"/>
      <c r="AF26" s="330"/>
      <c r="AG26" s="148"/>
      <c r="AI26" s="148"/>
      <c r="AJ26" s="231"/>
      <c r="AK26" s="231"/>
      <c r="AL26" s="231"/>
      <c r="AM26" s="231"/>
      <c r="AN26" s="231"/>
      <c r="AO26" s="231"/>
      <c r="AP26" s="231"/>
      <c r="AQ26" s="231"/>
      <c r="AR26" s="231"/>
      <c r="AS26" s="231"/>
      <c r="AT26" s="231"/>
      <c r="AU26" s="231"/>
      <c r="AV26" s="231"/>
      <c r="AW26" s="231"/>
      <c r="AX26" s="231"/>
      <c r="AY26" s="231"/>
      <c r="AZ26" s="231"/>
      <c r="BA26" s="158"/>
    </row>
    <row r="27" spans="1:56" ht="30.75" customHeight="1" thickBot="1" x14ac:dyDescent="0.3">
      <c r="A27" s="148"/>
      <c r="B27" s="217"/>
      <c r="C27" s="9"/>
      <c r="D27" s="632" t="str">
        <f>IF(Calculation!N4&gt;0,Calculation!N4,"")</f>
        <v/>
      </c>
      <c r="E27" s="633"/>
      <c r="F27" s="633"/>
      <c r="G27" s="633"/>
      <c r="H27" s="633"/>
      <c r="I27" s="633"/>
      <c r="J27" s="633"/>
      <c r="K27" s="432" t="str">
        <f>IF(Calculation!N4&gt;0,VLOOKUP(D27,Calculation!E$3:H$50,4,FALSE),"")</f>
        <v/>
      </c>
      <c r="L27" s="430" t="str">
        <f>IF(Calculation!N4&gt;0,VLOOKUP(D27,Calculation!E$3:H$50,2,FALSE),"")</f>
        <v/>
      </c>
      <c r="M27" s="630" t="str">
        <f>IF(Calculation!P4&gt;0,Calculation!P4,"")</f>
        <v/>
      </c>
      <c r="N27" s="630"/>
      <c r="O27" s="630"/>
      <c r="P27" s="630"/>
      <c r="Q27" s="630"/>
      <c r="R27" s="630"/>
      <c r="S27" s="630"/>
      <c r="T27" s="630"/>
      <c r="U27" s="432" t="str">
        <f>IF(Calculation!P4&gt;0,VLOOKUP(M27,Calculation!E$3:H$50,4,FALSE),"")</f>
        <v/>
      </c>
      <c r="V27" s="431" t="str">
        <f>IF(Calculation!P4&gt;0,VLOOKUP(M27,Calculation!E$3:H$50,2,FALSE),"")</f>
        <v/>
      </c>
      <c r="W27" s="330"/>
      <c r="X27" s="634">
        <f>Calculation!R4</f>
        <v>0</v>
      </c>
      <c r="Y27" s="634"/>
      <c r="Z27" s="634"/>
      <c r="AA27" s="634"/>
      <c r="AB27" s="634"/>
      <c r="AC27" s="634"/>
      <c r="AD27" s="634"/>
      <c r="AE27" s="634"/>
      <c r="AF27" s="419"/>
      <c r="AG27" s="148"/>
      <c r="AI27" s="148"/>
      <c r="AJ27" s="158"/>
      <c r="AK27" s="158"/>
      <c r="AL27" s="158"/>
      <c r="AM27" s="158"/>
      <c r="AN27" s="158"/>
      <c r="AO27" s="158"/>
      <c r="AP27" s="158"/>
      <c r="AQ27" s="158"/>
      <c r="AR27" s="158"/>
      <c r="AS27" s="158"/>
      <c r="AT27" s="158"/>
      <c r="AU27" s="158"/>
      <c r="AV27" s="158"/>
      <c r="AW27" s="158"/>
      <c r="AX27" s="158"/>
      <c r="AY27" s="158"/>
      <c r="AZ27" s="158"/>
      <c r="BA27" s="158"/>
    </row>
    <row r="28" spans="1:56" ht="30.75" customHeight="1" thickTop="1" thickBot="1" x14ac:dyDescent="0.55000000000000004">
      <c r="A28" s="148"/>
      <c r="B28" s="217"/>
      <c r="C28" s="9"/>
      <c r="D28" s="632" t="str">
        <f>IF(Calculation!N5&gt;0,Calculation!N5,"")</f>
        <v/>
      </c>
      <c r="E28" s="633"/>
      <c r="F28" s="633"/>
      <c r="G28" s="633"/>
      <c r="H28" s="633"/>
      <c r="I28" s="633"/>
      <c r="J28" s="633"/>
      <c r="K28" s="432" t="str">
        <f>IF(Calculation!N5&gt;0,VLOOKUP(D28,Calculation!E$3:H$50,4,FALSE),"")</f>
        <v/>
      </c>
      <c r="L28" s="430" t="str">
        <f>IF(Calculation!N5&gt;0,VLOOKUP(D28,Calculation!E$3:H$50,2,FALSE),"")</f>
        <v/>
      </c>
      <c r="M28" s="630" t="str">
        <f>IF(Calculation!P5&gt;0,Calculation!P5,"")</f>
        <v/>
      </c>
      <c r="N28" s="630"/>
      <c r="O28" s="630"/>
      <c r="P28" s="630"/>
      <c r="Q28" s="630"/>
      <c r="R28" s="630"/>
      <c r="S28" s="630"/>
      <c r="T28" s="630"/>
      <c r="U28" s="432" t="str">
        <f>IF(Calculation!P5&gt;0,VLOOKUP(M28,Calculation!E$3:H$50,4,FALSE),"")</f>
        <v/>
      </c>
      <c r="V28" s="431" t="str">
        <f>IF(Calculation!P5&gt;0,VLOOKUP(M28,Calculation!E$3:H$50,2,FALSE),"")</f>
        <v/>
      </c>
      <c r="W28" s="330"/>
      <c r="X28" s="634">
        <f>Calculation!R5</f>
        <v>0</v>
      </c>
      <c r="Y28" s="634"/>
      <c r="Z28" s="634"/>
      <c r="AA28" s="634"/>
      <c r="AB28" s="634"/>
      <c r="AC28" s="634"/>
      <c r="AD28" s="634"/>
      <c r="AE28" s="634"/>
      <c r="AF28" s="419"/>
      <c r="AG28" s="148"/>
      <c r="AI28" s="148"/>
      <c r="AJ28" s="598" t="s">
        <v>770</v>
      </c>
      <c r="AK28" s="599"/>
      <c r="AL28" s="599"/>
      <c r="AM28" s="599"/>
      <c r="AN28" s="599"/>
      <c r="AO28" s="411"/>
      <c r="AP28" s="599" t="s">
        <v>771</v>
      </c>
      <c r="AQ28" s="599"/>
      <c r="AR28" s="599"/>
      <c r="AS28" s="599"/>
      <c r="AT28" s="599"/>
      <c r="AU28" s="411"/>
      <c r="AV28" s="599" t="s">
        <v>772</v>
      </c>
      <c r="AW28" s="599"/>
      <c r="AX28" s="599"/>
      <c r="AY28" s="599"/>
      <c r="AZ28" s="600"/>
      <c r="BA28" s="148"/>
    </row>
    <row r="29" spans="1:56" ht="30.75" customHeight="1" thickTop="1" thickBot="1" x14ac:dyDescent="0.3">
      <c r="A29" s="148"/>
      <c r="B29" s="217"/>
      <c r="C29" s="9"/>
      <c r="D29" s="632" t="str">
        <f>IF(Calculation!N6&gt;0,Calculation!N6,"")</f>
        <v/>
      </c>
      <c r="E29" s="633"/>
      <c r="F29" s="633"/>
      <c r="G29" s="633"/>
      <c r="H29" s="633"/>
      <c r="I29" s="633"/>
      <c r="J29" s="633"/>
      <c r="K29" s="432" t="str">
        <f>IF(Calculation!N6&gt;0,VLOOKUP(D29,Calculation!E$3:H$50,4,FALSE),"")</f>
        <v/>
      </c>
      <c r="L29" s="430" t="str">
        <f>IF(Calculation!N6&gt;0,VLOOKUP(D29,Calculation!E$3:H$50,2,FALSE),"")</f>
        <v/>
      </c>
      <c r="M29" s="630" t="str">
        <f>IF(Calculation!P6&gt;0,Calculation!P6,"")</f>
        <v/>
      </c>
      <c r="N29" s="630"/>
      <c r="O29" s="630"/>
      <c r="P29" s="630"/>
      <c r="Q29" s="630"/>
      <c r="R29" s="630"/>
      <c r="S29" s="630"/>
      <c r="T29" s="630"/>
      <c r="U29" s="432" t="str">
        <f>IF(Calculation!P6&gt;0,VLOOKUP(M29,Calculation!E$3:H$50,4,FALSE),"")</f>
        <v/>
      </c>
      <c r="V29" s="431" t="str">
        <f>IF(Calculation!P6&gt;0,VLOOKUP(M29,Calculation!E$3:H$50,2,FALSE),"")</f>
        <v/>
      </c>
      <c r="W29" s="330"/>
      <c r="X29" s="634">
        <f>Calculation!R6</f>
        <v>0</v>
      </c>
      <c r="Y29" s="634"/>
      <c r="Z29" s="634"/>
      <c r="AA29" s="634"/>
      <c r="AB29" s="634"/>
      <c r="AC29" s="634"/>
      <c r="AD29" s="634"/>
      <c r="AE29" s="634"/>
      <c r="AF29" s="419"/>
      <c r="AG29" s="148"/>
      <c r="AI29" s="148"/>
      <c r="AJ29" s="213" t="s">
        <v>109</v>
      </c>
      <c r="AK29" s="213" t="s">
        <v>107</v>
      </c>
      <c r="AL29" s="200">
        <f>IFERROR('Diagram Data'!$Z1, " ")</f>
        <v>2024</v>
      </c>
      <c r="AM29" s="294" t="str">
        <f>IFERROR('Diagram Data'!$Y1, " ")</f>
        <v/>
      </c>
      <c r="AN29" s="295" t="str">
        <f>IFERROR('Diagram Data'!$X1, " ")</f>
        <v/>
      </c>
      <c r="AP29" s="213" t="s">
        <v>109</v>
      </c>
      <c r="AQ29" s="213" t="s">
        <v>107</v>
      </c>
      <c r="AR29" s="200">
        <f>IFERROR('Diagram Data'!$Z1, " ")</f>
        <v>2024</v>
      </c>
      <c r="AS29" s="294" t="str">
        <f>IFERROR('Diagram Data'!$Y1, " ")</f>
        <v/>
      </c>
      <c r="AT29" s="295" t="str">
        <f>IFERROR('Diagram Data'!$X1, " ")</f>
        <v/>
      </c>
      <c r="AV29" s="213" t="s">
        <v>109</v>
      </c>
      <c r="AW29" s="213" t="s">
        <v>107</v>
      </c>
      <c r="AX29" s="200">
        <f>IFERROR('Diagram Data'!$Z1, " ")</f>
        <v>2024</v>
      </c>
      <c r="AY29" s="294" t="str">
        <f>IFERROR('Diagram Data'!$Y1, " ")</f>
        <v/>
      </c>
      <c r="AZ29" s="295" t="str">
        <f>IFERROR('Diagram Data'!$X1, " ")</f>
        <v/>
      </c>
      <c r="BA29" s="148"/>
      <c r="BD29" s="12"/>
    </row>
    <row r="30" spans="1:56" ht="30.75" customHeight="1" thickTop="1" thickBot="1" x14ac:dyDescent="0.3">
      <c r="A30" s="148"/>
      <c r="B30" s="217"/>
      <c r="C30" s="9"/>
      <c r="D30" s="632" t="str">
        <f>IF(Calculation!N7&gt;0,Calculation!N7,"")</f>
        <v/>
      </c>
      <c r="E30" s="633"/>
      <c r="F30" s="633"/>
      <c r="G30" s="633"/>
      <c r="H30" s="633"/>
      <c r="I30" s="633"/>
      <c r="J30" s="633"/>
      <c r="K30" s="432" t="str">
        <f>IF(Calculation!N7&gt;0,VLOOKUP(D30,Calculation!E$3:H$50,4,FALSE),"")</f>
        <v/>
      </c>
      <c r="L30" s="430" t="str">
        <f>IF(Calculation!N7&gt;0,VLOOKUP(D30,Calculation!E$3:H$50,2,FALSE),"")</f>
        <v/>
      </c>
      <c r="M30" s="630" t="str">
        <f>IF(Calculation!P7&gt;0,Calculation!P7,"")</f>
        <v/>
      </c>
      <c r="N30" s="630"/>
      <c r="O30" s="630"/>
      <c r="P30" s="630"/>
      <c r="Q30" s="630"/>
      <c r="R30" s="630"/>
      <c r="S30" s="630"/>
      <c r="T30" s="630"/>
      <c r="U30" s="432" t="str">
        <f>IF(Calculation!P7&gt;0,VLOOKUP(M30,Calculation!E$3:H$50,4,FALSE),"")</f>
        <v/>
      </c>
      <c r="V30" s="431" t="str">
        <f>IF(Calculation!P7&gt;0,VLOOKUP(M30,Calculation!E$3:H$50,2,FALSE),"")</f>
        <v/>
      </c>
      <c r="W30" s="330"/>
      <c r="X30" s="634">
        <f>Calculation!R7</f>
        <v>0</v>
      </c>
      <c r="Y30" s="634"/>
      <c r="Z30" s="634"/>
      <c r="AA30" s="634"/>
      <c r="AB30" s="634"/>
      <c r="AC30" s="634"/>
      <c r="AD30" s="634"/>
      <c r="AE30" s="634"/>
      <c r="AF30" s="419"/>
      <c r="AG30" s="148"/>
      <c r="AI30" s="148"/>
      <c r="AJ30" s="192" t="str">
        <f>Calculation!D3</f>
        <v>S1V1</v>
      </c>
      <c r="AK30" s="160" t="str">
        <f>'EAMD Scorecard'!D8</f>
        <v>Businesses</v>
      </c>
      <c r="AL30" s="291" t="str">
        <f>Calculation!H3</f>
        <v/>
      </c>
      <c r="AM30" s="291" t="str">
        <f>'Diagram Data'!E25</f>
        <v/>
      </c>
      <c r="AN30" s="291" t="str">
        <f>'Diagram Data'!F25</f>
        <v/>
      </c>
      <c r="AP30" s="192" t="str">
        <f>Calculation!D18</f>
        <v>D1V1</v>
      </c>
      <c r="AQ30" s="160" t="str">
        <f>'EAMD Scorecard'!D37</f>
        <v>Diversity</v>
      </c>
      <c r="AR30" s="291" t="str">
        <f>Calculation!H18</f>
        <v/>
      </c>
      <c r="AS30" s="291" t="str">
        <f>'Diagram Data'!E50</f>
        <v/>
      </c>
      <c r="AT30" s="291" t="str">
        <f>'Diagram Data'!F50</f>
        <v/>
      </c>
      <c r="AV30" s="192" t="str">
        <f>Calculation!D27</f>
        <v>E1V1</v>
      </c>
      <c r="AW30" s="160" t="str">
        <f>'EAMD Scorecard'!D48</f>
        <v>National plans</v>
      </c>
      <c r="AX30" s="291" t="str">
        <f>Calculation!H27</f>
        <v/>
      </c>
      <c r="AY30" s="291" t="str">
        <f>'Diagram Data'!E59</f>
        <v/>
      </c>
      <c r="AZ30" s="291" t="str">
        <f>'Diagram Data'!F59</f>
        <v/>
      </c>
      <c r="BA30" s="148"/>
    </row>
    <row r="31" spans="1:56" ht="30.75" customHeight="1" thickTop="1" thickBot="1" x14ac:dyDescent="0.3">
      <c r="A31" s="148"/>
      <c r="B31" s="217"/>
      <c r="C31" s="9"/>
      <c r="D31" s="632" t="str">
        <f>IF(Calculation!N8&gt;0,Calculation!N8,"")</f>
        <v/>
      </c>
      <c r="E31" s="633"/>
      <c r="F31" s="633"/>
      <c r="G31" s="633"/>
      <c r="H31" s="633"/>
      <c r="I31" s="633"/>
      <c r="J31" s="633"/>
      <c r="K31" s="432" t="str">
        <f>IF(Calculation!N8&gt;0,VLOOKUP(D31,Calculation!E$3:H$50,4,FALSE),"")</f>
        <v/>
      </c>
      <c r="L31" s="430" t="str">
        <f>IF(Calculation!N8&gt;0,VLOOKUP(D31,Calculation!E$3:H$50,2,FALSE),"")</f>
        <v/>
      </c>
      <c r="M31" s="630" t="str">
        <f>IF(Calculation!P8&gt;0,Calculation!P8,"")</f>
        <v/>
      </c>
      <c r="N31" s="630"/>
      <c r="O31" s="630"/>
      <c r="P31" s="630"/>
      <c r="Q31" s="630"/>
      <c r="R31" s="630"/>
      <c r="S31" s="630"/>
      <c r="T31" s="630"/>
      <c r="U31" s="432" t="str">
        <f>IF(Calculation!P8&gt;0,VLOOKUP(M31,Calculation!E$3:H$50,4,FALSE),"")</f>
        <v/>
      </c>
      <c r="V31" s="431" t="str">
        <f>IF(Calculation!P8&gt;0,VLOOKUP(M31,Calculation!E$3:H$50,2,FALSE),"")</f>
        <v/>
      </c>
      <c r="W31" s="330"/>
      <c r="X31" s="634">
        <f>Calculation!R8</f>
        <v>0</v>
      </c>
      <c r="Y31" s="634"/>
      <c r="Z31" s="634"/>
      <c r="AA31" s="634"/>
      <c r="AB31" s="634"/>
      <c r="AC31" s="634"/>
      <c r="AD31" s="634"/>
      <c r="AE31" s="634"/>
      <c r="AF31" s="419"/>
      <c r="AG31" s="148"/>
      <c r="AI31" s="148"/>
      <c r="AJ31" s="192" t="str">
        <f>Calculation!D4</f>
        <v>S1V2</v>
      </c>
      <c r="AK31" s="160" t="str">
        <f>'EAMD Scorecard'!D9</f>
        <v>Business modalities</v>
      </c>
      <c r="AL31" s="291" t="str">
        <f>Calculation!H4</f>
        <v/>
      </c>
      <c r="AM31" s="291" t="str">
        <f>'Diagram Data'!E26</f>
        <v/>
      </c>
      <c r="AN31" s="291" t="str">
        <f>'Diagram Data'!F26</f>
        <v/>
      </c>
      <c r="AP31" s="192" t="str">
        <f>Calculation!D19</f>
        <v>D2V1</v>
      </c>
      <c r="AQ31" s="160" t="str">
        <f>'EAMD Scorecard'!D38</f>
        <v>Market share / Technology adopters</v>
      </c>
      <c r="AR31" s="291" t="str">
        <f>Calculation!H19</f>
        <v/>
      </c>
      <c r="AS31" s="291" t="str">
        <f>'Diagram Data'!E51</f>
        <v/>
      </c>
      <c r="AT31" s="291" t="str">
        <f>'Diagram Data'!F51</f>
        <v/>
      </c>
      <c r="AV31" s="192" t="str">
        <f>Calculation!D28</f>
        <v>E1V2</v>
      </c>
      <c r="AW31" s="160" t="str">
        <f>'EAMD Scorecard'!D49</f>
        <v>Policy</v>
      </c>
      <c r="AX31" s="291" t="str">
        <f>Calculation!H28</f>
        <v/>
      </c>
      <c r="AY31" s="291" t="str">
        <f>'Diagram Data'!E60</f>
        <v/>
      </c>
      <c r="AZ31" s="291" t="str">
        <f>'Diagram Data'!F60</f>
        <v/>
      </c>
      <c r="BA31" s="148"/>
    </row>
    <row r="32" spans="1:56" ht="30.75" customHeight="1" thickTop="1" thickBot="1" x14ac:dyDescent="0.3">
      <c r="A32" s="148"/>
      <c r="B32" s="217"/>
      <c r="C32" s="9"/>
      <c r="D32" s="632" t="str">
        <f>IF(Calculation!N9&gt;0,Calculation!N9,"")</f>
        <v/>
      </c>
      <c r="E32" s="633"/>
      <c r="F32" s="633"/>
      <c r="G32" s="633"/>
      <c r="H32" s="633"/>
      <c r="I32" s="633"/>
      <c r="J32" s="633"/>
      <c r="K32" s="432" t="str">
        <f>IF(Calculation!N9&gt;0,VLOOKUP(D32,Calculation!E$3:H$50,4,FALSE),"")</f>
        <v/>
      </c>
      <c r="L32" s="430" t="str">
        <f>IF(Calculation!N9&gt;0,VLOOKUP(D32,Calculation!E$3:H$50,2,FALSE),"")</f>
        <v/>
      </c>
      <c r="M32" s="630" t="str">
        <f>IF(Calculation!P9&gt;0,Calculation!P9,"")</f>
        <v/>
      </c>
      <c r="N32" s="630"/>
      <c r="O32" s="630"/>
      <c r="P32" s="630"/>
      <c r="Q32" s="630"/>
      <c r="R32" s="630"/>
      <c r="S32" s="630"/>
      <c r="T32" s="630"/>
      <c r="U32" s="432" t="str">
        <f>IF(Calculation!P9&gt;0,VLOOKUP(M32,Calculation!E$3:H$50,4,FALSE),"")</f>
        <v/>
      </c>
      <c r="V32" s="431" t="str">
        <f>IF(Calculation!P9&gt;0,VLOOKUP(M32,Calculation!E$3:H$50,2,FALSE),"")</f>
        <v/>
      </c>
      <c r="W32" s="330"/>
      <c r="X32" s="634">
        <f>Calculation!R9</f>
        <v>0</v>
      </c>
      <c r="Y32" s="634"/>
      <c r="Z32" s="634"/>
      <c r="AA32" s="634"/>
      <c r="AB32" s="634"/>
      <c r="AC32" s="634"/>
      <c r="AD32" s="634"/>
      <c r="AE32" s="634"/>
      <c r="AF32" s="419"/>
      <c r="AG32" s="148"/>
      <c r="AI32" s="148"/>
      <c r="AJ32" s="192" t="str">
        <f>Calculation!D5</f>
        <v>S1V3</v>
      </c>
      <c r="AK32" s="160" t="str">
        <f>'EAMD Scorecard'!D10</f>
        <v>Formality</v>
      </c>
      <c r="AL32" s="291" t="str">
        <f>Calculation!H5</f>
        <v/>
      </c>
      <c r="AM32" s="291" t="str">
        <f>'Diagram Data'!E27</f>
        <v/>
      </c>
      <c r="AN32" s="291" t="str">
        <f>'Diagram Data'!F27</f>
        <v/>
      </c>
      <c r="AP32" s="192" t="str">
        <f>Calculation!D20</f>
        <v>D3V1</v>
      </c>
      <c r="AQ32" s="160" t="str">
        <f>'EAMD Scorecard'!D39</f>
        <v xml:space="preserve">Willingness to pay </v>
      </c>
      <c r="AR32" s="291" t="str">
        <f>Calculation!H20</f>
        <v/>
      </c>
      <c r="AS32" s="291" t="str">
        <f>'Diagram Data'!E52</f>
        <v/>
      </c>
      <c r="AT32" s="291" t="str">
        <f>'Diagram Data'!F52</f>
        <v/>
      </c>
      <c r="AV32" s="192" t="str">
        <f>Calculation!D29</f>
        <v>E1V3</v>
      </c>
      <c r="AW32" s="160" t="str">
        <f>'EAMD Scorecard'!D50</f>
        <v>Product taxes</v>
      </c>
      <c r="AX32" s="291" t="str">
        <f>Calculation!H29</f>
        <v/>
      </c>
      <c r="AY32" s="291" t="str">
        <f>'Diagram Data'!E61</f>
        <v/>
      </c>
      <c r="AZ32" s="291" t="str">
        <f>'Diagram Data'!F61</f>
        <v/>
      </c>
      <c r="BA32" s="148"/>
    </row>
    <row r="33" spans="1:53" ht="30.75" customHeight="1" thickTop="1" thickBot="1" x14ac:dyDescent="0.3">
      <c r="A33" s="148"/>
      <c r="B33" s="217"/>
      <c r="C33" s="9"/>
      <c r="D33" s="632" t="str">
        <f>IF(Calculation!N10&gt;0,Calculation!N10,"")</f>
        <v/>
      </c>
      <c r="E33" s="633"/>
      <c r="F33" s="633"/>
      <c r="G33" s="633"/>
      <c r="H33" s="633"/>
      <c r="I33" s="633"/>
      <c r="J33" s="633"/>
      <c r="K33" s="432" t="str">
        <f>IF(Calculation!N10&gt;0,VLOOKUP(D33,Calculation!E$3:H$50,4,FALSE),"")</f>
        <v/>
      </c>
      <c r="L33" s="430" t="str">
        <f>IF(Calculation!N10&gt;0,VLOOKUP(D33,Calculation!E$3:H$50,2,FALSE),"")</f>
        <v/>
      </c>
      <c r="M33" s="630" t="str">
        <f>IF(Calculation!P10&gt;0,Calculation!P10,"")</f>
        <v/>
      </c>
      <c r="N33" s="630"/>
      <c r="O33" s="630"/>
      <c r="P33" s="630"/>
      <c r="Q33" s="630"/>
      <c r="R33" s="630"/>
      <c r="S33" s="630"/>
      <c r="T33" s="630"/>
      <c r="U33" s="432" t="str">
        <f>IF(Calculation!P10&gt;0,VLOOKUP(M33,Calculation!E$3:H$50,4,FALSE),"")</f>
        <v/>
      </c>
      <c r="V33" s="431" t="str">
        <f>IF(Calculation!P10&gt;0,VLOOKUP(M33,Calculation!E$3:H$50,2,FALSE),"")</f>
        <v/>
      </c>
      <c r="W33" s="330"/>
      <c r="X33" s="634">
        <f>Calculation!R10</f>
        <v>0</v>
      </c>
      <c r="Y33" s="634"/>
      <c r="Z33" s="634"/>
      <c r="AA33" s="634"/>
      <c r="AB33" s="634"/>
      <c r="AC33" s="634"/>
      <c r="AD33" s="634"/>
      <c r="AE33" s="634"/>
      <c r="AF33" s="419"/>
      <c r="AG33" s="148"/>
      <c r="AI33" s="148"/>
      <c r="AJ33" s="192" t="str">
        <f>Calculation!D6</f>
        <v>S1V4</v>
      </c>
      <c r="AK33" s="160" t="str">
        <f>'EAMD Scorecard'!D11</f>
        <v>Jobs created</v>
      </c>
      <c r="AL33" s="291" t="str">
        <f>Calculation!H6</f>
        <v/>
      </c>
      <c r="AM33" s="291" t="str">
        <f>'Diagram Data'!E28</f>
        <v/>
      </c>
      <c r="AN33" s="291" t="str">
        <f>'Diagram Data'!F28</f>
        <v/>
      </c>
      <c r="AP33" s="192" t="str">
        <f>Calculation!D21</f>
        <v>D4V1</v>
      </c>
      <c r="AQ33" s="160" t="str">
        <f>'EAMD Scorecard'!D40</f>
        <v>Usage rate</v>
      </c>
      <c r="AR33" s="291" t="str">
        <f>Calculation!H21</f>
        <v/>
      </c>
      <c r="AS33" s="291" t="str">
        <f>'Diagram Data'!E53</f>
        <v/>
      </c>
      <c r="AT33" s="291" t="str">
        <f>'Diagram Data'!F53</f>
        <v/>
      </c>
      <c r="AV33" s="192" t="str">
        <f>Calculation!D30</f>
        <v>E2V1</v>
      </c>
      <c r="AW33" s="160" t="str">
        <f>'EAMD Scorecard'!D52</f>
        <v>Subsidies</v>
      </c>
      <c r="AX33" s="291" t="str">
        <f>Calculation!H30</f>
        <v/>
      </c>
      <c r="AY33" s="291" t="str">
        <f>'Diagram Data'!E62</f>
        <v/>
      </c>
      <c r="AZ33" s="291" t="str">
        <f>'Diagram Data'!F62</f>
        <v/>
      </c>
      <c r="BA33" s="148"/>
    </row>
    <row r="34" spans="1:53" ht="30.75" customHeight="1" thickTop="1" thickBot="1" x14ac:dyDescent="0.3">
      <c r="A34" s="148"/>
      <c r="B34" s="217"/>
      <c r="C34" s="9"/>
      <c r="D34" s="632" t="str">
        <f>IF(Calculation!N11&gt;0,Calculation!N11,"")</f>
        <v/>
      </c>
      <c r="E34" s="633"/>
      <c r="F34" s="633"/>
      <c r="G34" s="633"/>
      <c r="H34" s="633"/>
      <c r="I34" s="633"/>
      <c r="J34" s="633"/>
      <c r="K34" s="432" t="str">
        <f>IF(Calculation!N11&gt;0,VLOOKUP(D34,Calculation!E$3:H$50,4,FALSE),"")</f>
        <v/>
      </c>
      <c r="L34" s="430" t="str">
        <f>IF(Calculation!N11&gt;0,VLOOKUP(D34,Calculation!E$3:H$50,2,FALSE),"")</f>
        <v/>
      </c>
      <c r="M34" s="630" t="str">
        <f>IF(Calculation!P11&gt;0,Calculation!P11,"")</f>
        <v/>
      </c>
      <c r="N34" s="630"/>
      <c r="O34" s="630"/>
      <c r="P34" s="630"/>
      <c r="Q34" s="630"/>
      <c r="R34" s="630"/>
      <c r="S34" s="630"/>
      <c r="T34" s="630"/>
      <c r="U34" s="432" t="str">
        <f>IF(Calculation!P11&gt;0,VLOOKUP(M34,Calculation!E$3:H$50,4,FALSE),"")</f>
        <v/>
      </c>
      <c r="V34" s="431" t="str">
        <f>IF(Calculation!P11&gt;0,VLOOKUP(M34,Calculation!E$3:H$50,2,FALSE),"")</f>
        <v/>
      </c>
      <c r="W34" s="330"/>
      <c r="X34" s="634">
        <f>Calculation!R11</f>
        <v>0</v>
      </c>
      <c r="Y34" s="634"/>
      <c r="Z34" s="634"/>
      <c r="AA34" s="634"/>
      <c r="AB34" s="634"/>
      <c r="AC34" s="634"/>
      <c r="AD34" s="634"/>
      <c r="AE34" s="634"/>
      <c r="AF34" s="419"/>
      <c r="AG34" s="148"/>
      <c r="AI34" s="148"/>
      <c r="AJ34" s="192" t="str">
        <f>Calculation!D7</f>
        <v>S2V1</v>
      </c>
      <c r="AK34" s="160" t="str">
        <f>'EAMD Scorecard'!D12</f>
        <v>Products / services sold</v>
      </c>
      <c r="AL34" s="291" t="str">
        <f>Calculation!H7</f>
        <v/>
      </c>
      <c r="AM34" s="291" t="str">
        <f>'Diagram Data'!E29</f>
        <v/>
      </c>
      <c r="AN34" s="291" t="str">
        <f>'Diagram Data'!F29</f>
        <v/>
      </c>
      <c r="AP34" s="192" t="str">
        <f>Calculation!D22</f>
        <v>D5V1</v>
      </c>
      <c r="AQ34" s="160" t="str">
        <f>'EAMD Scorecard'!D42</f>
        <v>Replacement rate</v>
      </c>
      <c r="AR34" s="291" t="str">
        <f>Calculation!H22</f>
        <v/>
      </c>
      <c r="AS34" s="291" t="str">
        <f>'Diagram Data'!E54</f>
        <v/>
      </c>
      <c r="AT34" s="291" t="str">
        <f>'Diagram Data'!F54</f>
        <v/>
      </c>
      <c r="AV34" s="192" t="str">
        <f>Calculation!D31</f>
        <v>E2V2</v>
      </c>
      <c r="AW34" s="160" t="str">
        <f>'EAMD Scorecard'!D53</f>
        <v>Financing options and investments by suppliers</v>
      </c>
      <c r="AX34" s="291" t="str">
        <f>Calculation!H31</f>
        <v/>
      </c>
      <c r="AY34" s="291" t="str">
        <f>'Diagram Data'!E63</f>
        <v/>
      </c>
      <c r="AZ34" s="291" t="str">
        <f>'Diagram Data'!F63</f>
        <v/>
      </c>
      <c r="BA34" s="148"/>
    </row>
    <row r="35" spans="1:53" ht="30.75" customHeight="1" thickTop="1" thickBot="1" x14ac:dyDescent="0.3">
      <c r="A35" s="148"/>
      <c r="B35" s="217"/>
      <c r="C35" s="9"/>
      <c r="D35" s="632" t="str">
        <f>IF(Calculation!N12&gt;0,Calculation!N12,"")</f>
        <v/>
      </c>
      <c r="E35" s="633"/>
      <c r="F35" s="633"/>
      <c r="G35" s="633"/>
      <c r="H35" s="633"/>
      <c r="I35" s="633"/>
      <c r="J35" s="633"/>
      <c r="K35" s="432" t="str">
        <f>IF(Calculation!N12&gt;0,VLOOKUP(D35,Calculation!E$3:H$50,4,FALSE),"")</f>
        <v/>
      </c>
      <c r="L35" s="430" t="str">
        <f>IF(Calculation!N12&gt;0,VLOOKUP(D35,Calculation!E$3:H$50,2,FALSE),"")</f>
        <v/>
      </c>
      <c r="M35" s="630" t="str">
        <f>IF(Calculation!P12&gt;0,Calculation!P12,"")</f>
        <v/>
      </c>
      <c r="N35" s="630"/>
      <c r="O35" s="630"/>
      <c r="P35" s="630"/>
      <c r="Q35" s="630"/>
      <c r="R35" s="630"/>
      <c r="S35" s="630"/>
      <c r="T35" s="630"/>
      <c r="U35" s="432" t="str">
        <f>IF(Calculation!P12&gt;0,VLOOKUP(M35,Calculation!E$3:H$50,4,FALSE),"")</f>
        <v/>
      </c>
      <c r="V35" s="431" t="str">
        <f>IF(Calculation!P12&gt;0,VLOOKUP(M35,Calculation!E$3:H$50,2,FALSE),"")</f>
        <v/>
      </c>
      <c r="W35" s="330"/>
      <c r="X35" s="634">
        <f>Calculation!R12</f>
        <v>0</v>
      </c>
      <c r="Y35" s="634"/>
      <c r="Z35" s="634"/>
      <c r="AA35" s="634"/>
      <c r="AB35" s="634"/>
      <c r="AC35" s="634"/>
      <c r="AD35" s="634"/>
      <c r="AE35" s="634"/>
      <c r="AF35" s="419"/>
      <c r="AG35" s="148"/>
      <c r="AI35" s="148"/>
      <c r="AJ35" s="192" t="str">
        <f>Calculation!D8</f>
        <v>S2V2</v>
      </c>
      <c r="AK35" s="160" t="str">
        <f>'EAMD Scorecard'!D13</f>
        <v>Inventory turnover</v>
      </c>
      <c r="AL35" s="291" t="str">
        <f>Calculation!H8</f>
        <v/>
      </c>
      <c r="AM35" s="291" t="str">
        <f>'Diagram Data'!E30</f>
        <v/>
      </c>
      <c r="AN35" s="291" t="str">
        <f>'Diagram Data'!F30</f>
        <v/>
      </c>
      <c r="AP35" s="192" t="str">
        <f>Calculation!D23</f>
        <v>D6V1</v>
      </c>
      <c r="AQ35" s="160" t="str">
        <f>'EAMD Scorecard'!D44</f>
        <v>Awareness</v>
      </c>
      <c r="AR35" s="291" t="str">
        <f>Calculation!H23</f>
        <v/>
      </c>
      <c r="AS35" s="291" t="str">
        <f>'Diagram Data'!E55</f>
        <v/>
      </c>
      <c r="AT35" s="291" t="str">
        <f>'Diagram Data'!F55</f>
        <v/>
      </c>
      <c r="AV35" s="192" t="str">
        <f>Calculation!D32</f>
        <v>E2V3</v>
      </c>
      <c r="AW35" s="160" t="str">
        <f>'EAMD Scorecard'!D54</f>
        <v>Financing options for consumers</v>
      </c>
      <c r="AX35" s="291" t="str">
        <f>Calculation!H32</f>
        <v/>
      </c>
      <c r="AY35" s="291" t="str">
        <f>'Diagram Data'!E64</f>
        <v/>
      </c>
      <c r="AZ35" s="291" t="str">
        <f>'Diagram Data'!F64</f>
        <v/>
      </c>
      <c r="BA35" s="148"/>
    </row>
    <row r="36" spans="1:53" ht="30.75" customHeight="1" thickTop="1" thickBot="1" x14ac:dyDescent="0.3">
      <c r="A36" s="148"/>
      <c r="B36" s="217"/>
      <c r="C36" s="9"/>
      <c r="D36" s="632" t="str">
        <f>IF(Calculation!N13&gt;0,Calculation!N13,"")</f>
        <v/>
      </c>
      <c r="E36" s="633"/>
      <c r="F36" s="633"/>
      <c r="G36" s="633"/>
      <c r="H36" s="633"/>
      <c r="I36" s="633"/>
      <c r="J36" s="633"/>
      <c r="K36" s="432" t="str">
        <f>IF(Calculation!N13&gt;0,VLOOKUP(D36,Calculation!E$3:H$50,4,FALSE),"")</f>
        <v/>
      </c>
      <c r="L36" s="430" t="str">
        <f>IF(Calculation!N13&gt;0,VLOOKUP(D36,Calculation!E$3:H$50,2,FALSE),"")</f>
        <v/>
      </c>
      <c r="M36" s="630" t="str">
        <f>IF(Calculation!P13&gt;0,Calculation!P13,"")</f>
        <v/>
      </c>
      <c r="N36" s="630"/>
      <c r="O36" s="630"/>
      <c r="P36" s="630"/>
      <c r="Q36" s="630"/>
      <c r="R36" s="630"/>
      <c r="S36" s="630"/>
      <c r="T36" s="630"/>
      <c r="U36" s="432" t="str">
        <f>IF(Calculation!P13&gt;0,VLOOKUP(M36,Calculation!E$3:H$50,4,FALSE),"")</f>
        <v/>
      </c>
      <c r="V36" s="431" t="str">
        <f>IF(Calculation!P13&gt;0,VLOOKUP(M36,Calculation!E$3:H$50,2,FALSE),"")</f>
        <v/>
      </c>
      <c r="W36" s="330"/>
      <c r="X36" s="634">
        <f>Calculation!R13</f>
        <v>0</v>
      </c>
      <c r="Y36" s="634"/>
      <c r="Z36" s="634"/>
      <c r="AA36" s="634"/>
      <c r="AB36" s="634"/>
      <c r="AC36" s="634"/>
      <c r="AD36" s="634"/>
      <c r="AE36" s="634"/>
      <c r="AF36" s="419"/>
      <c r="AG36" s="148"/>
      <c r="AI36" s="148"/>
      <c r="AJ36" s="192" t="str">
        <f>Calculation!D9</f>
        <v>S3V1</v>
      </c>
      <c r="AK36" s="160" t="str">
        <f>'EAMD Scorecard'!D17</f>
        <v>Profits and Investments</v>
      </c>
      <c r="AL36" s="291" t="str">
        <f>Calculation!H9</f>
        <v/>
      </c>
      <c r="AM36" s="291" t="str">
        <f>'Diagram Data'!E31</f>
        <v/>
      </c>
      <c r="AN36" s="291" t="str">
        <f>'Diagram Data'!F31</f>
        <v/>
      </c>
      <c r="AP36" s="192" t="str">
        <f>Calculation!D24</f>
        <v>D6V2</v>
      </c>
      <c r="AQ36" s="160" t="str">
        <f>'EAMD Scorecard'!D45</f>
        <v>Perception</v>
      </c>
      <c r="AR36" s="291" t="str">
        <f>Calculation!H24</f>
        <v/>
      </c>
      <c r="AS36" s="291" t="str">
        <f>'Diagram Data'!E56</f>
        <v/>
      </c>
      <c r="AT36" s="291" t="str">
        <f>'Diagram Data'!F56</f>
        <v/>
      </c>
      <c r="AV36" s="192" t="str">
        <f>Calculation!D33</f>
        <v>E3V1</v>
      </c>
      <c r="AW36" s="160" t="str">
        <f>'EAMD Scorecard'!D55</f>
        <v>Regulation, Norms and standards</v>
      </c>
      <c r="AX36" s="291" t="str">
        <f>Calculation!H33</f>
        <v/>
      </c>
      <c r="AY36" s="291" t="str">
        <f>'Diagram Data'!E65</f>
        <v/>
      </c>
      <c r="AZ36" s="291" t="str">
        <f>'Diagram Data'!F65</f>
        <v/>
      </c>
      <c r="BA36" s="148"/>
    </row>
    <row r="37" spans="1:53" ht="30.75" customHeight="1" thickTop="1" thickBot="1" x14ac:dyDescent="0.3">
      <c r="A37" s="148"/>
      <c r="B37" s="217"/>
      <c r="C37" s="9"/>
      <c r="D37" s="632" t="str">
        <f>IF(Calculation!N14&gt;0,Calculation!N14,"")</f>
        <v/>
      </c>
      <c r="E37" s="633"/>
      <c r="F37" s="633"/>
      <c r="G37" s="633"/>
      <c r="H37" s="633"/>
      <c r="I37" s="633"/>
      <c r="J37" s="633"/>
      <c r="K37" s="432" t="str">
        <f>IF(Calculation!N14&gt;0,VLOOKUP(D37,Calculation!E$3:H$50,4,FALSE),"")</f>
        <v/>
      </c>
      <c r="L37" s="430" t="str">
        <f>IF(Calculation!N14&gt;0,VLOOKUP(D37,Calculation!E$3:H$50,2,FALSE),"")</f>
        <v/>
      </c>
      <c r="M37" s="630" t="str">
        <f>IF(Calculation!P14&gt;0,Calculation!P14,"")</f>
        <v/>
      </c>
      <c r="N37" s="630"/>
      <c r="O37" s="630"/>
      <c r="P37" s="630"/>
      <c r="Q37" s="630"/>
      <c r="R37" s="630"/>
      <c r="S37" s="630"/>
      <c r="T37" s="630"/>
      <c r="U37" s="432" t="str">
        <f>IF(Calculation!P14&gt;0,VLOOKUP(M37,Calculation!E$3:H$50,4,FALSE),"")</f>
        <v/>
      </c>
      <c r="V37" s="431" t="str">
        <f>IF(Calculation!P14&gt;0,VLOOKUP(M37,Calculation!E$3:H$50,2,FALSE),"")</f>
        <v/>
      </c>
      <c r="W37" s="330"/>
      <c r="X37" s="634">
        <f>Calculation!R14</f>
        <v>0</v>
      </c>
      <c r="Y37" s="634"/>
      <c r="Z37" s="634"/>
      <c r="AA37" s="634"/>
      <c r="AB37" s="634"/>
      <c r="AC37" s="634"/>
      <c r="AD37" s="634"/>
      <c r="AE37" s="634"/>
      <c r="AF37" s="419"/>
      <c r="AG37" s="148"/>
      <c r="AI37" s="148"/>
      <c r="AJ37" s="192" t="str">
        <f>Calculation!D10</f>
        <v>S4V1</v>
      </c>
      <c r="AK37" s="160" t="str">
        <f>'EAMD Scorecard'!D18</f>
        <v>Length of supply chain</v>
      </c>
      <c r="AL37" s="291" t="str">
        <f>Calculation!H10</f>
        <v/>
      </c>
      <c r="AM37" s="291" t="str">
        <f>'Diagram Data'!E32</f>
        <v/>
      </c>
      <c r="AN37" s="291" t="str">
        <f>'Diagram Data'!F32</f>
        <v/>
      </c>
      <c r="AP37" s="192" t="str">
        <f>Calculation!D25</f>
        <v>D7V1</v>
      </c>
      <c r="AQ37" s="160" t="str">
        <f>'EAMD Scorecard'!D64</f>
        <v>Sales volume of productive use market(s)</v>
      </c>
      <c r="AR37" s="291" t="str">
        <f>Calculation!H25</f>
        <v/>
      </c>
      <c r="AS37" s="291" t="str">
        <f>'Diagram Data'!E57</f>
        <v/>
      </c>
      <c r="AT37" s="291" t="str">
        <f>'Diagram Data'!F57</f>
        <v/>
      </c>
      <c r="AV37" s="192" t="str">
        <f>Calculation!D34</f>
        <v>E3V2</v>
      </c>
      <c r="AW37" s="160" t="str">
        <f>'EAMD Scorecard'!D56</f>
        <v>Enforcement</v>
      </c>
      <c r="AX37" s="291" t="str">
        <f>Calculation!H34</f>
        <v/>
      </c>
      <c r="AY37" s="291" t="str">
        <f>'Diagram Data'!E66</f>
        <v/>
      </c>
      <c r="AZ37" s="291" t="str">
        <f>'Diagram Data'!F66</f>
        <v/>
      </c>
      <c r="BA37" s="148"/>
    </row>
    <row r="38" spans="1:53" ht="30.75" customHeight="1" thickTop="1" thickBot="1" x14ac:dyDescent="0.3">
      <c r="A38" s="148"/>
      <c r="B38" s="217"/>
      <c r="C38" s="9"/>
      <c r="D38" s="632" t="str">
        <f>IF(Calculation!N15&gt;0,Calculation!N15,"")</f>
        <v/>
      </c>
      <c r="E38" s="633"/>
      <c r="F38" s="633"/>
      <c r="G38" s="633"/>
      <c r="H38" s="633"/>
      <c r="I38" s="633"/>
      <c r="J38" s="633"/>
      <c r="K38" s="432" t="str">
        <f>IF(Calculation!N15&gt;0,VLOOKUP(D38,Calculation!E$3:H$50,4,FALSE),"")</f>
        <v/>
      </c>
      <c r="L38" s="430" t="str">
        <f>IF(Calculation!N15&gt;0,VLOOKUP(D38,Calculation!E$3:H$50,2,FALSE),"")</f>
        <v/>
      </c>
      <c r="M38" s="630" t="str">
        <f>IF(Calculation!P15&gt;0,Calculation!P15,"")</f>
        <v/>
      </c>
      <c r="N38" s="630"/>
      <c r="O38" s="630"/>
      <c r="P38" s="630"/>
      <c r="Q38" s="630"/>
      <c r="R38" s="630"/>
      <c r="S38" s="630"/>
      <c r="T38" s="630"/>
      <c r="U38" s="432" t="str">
        <f>IF(Calculation!P15&gt;0,VLOOKUP(M38,Calculation!E$3:H$50,4,FALSE),"")</f>
        <v/>
      </c>
      <c r="V38" s="431" t="str">
        <f>IF(Calculation!P15&gt;0,VLOOKUP(M38,Calculation!E$3:H$50,2,FALSE),"")</f>
        <v/>
      </c>
      <c r="W38" s="330"/>
      <c r="X38" s="634">
        <f>Calculation!R15</f>
        <v>0</v>
      </c>
      <c r="Y38" s="634"/>
      <c r="Z38" s="634"/>
      <c r="AA38" s="634"/>
      <c r="AB38" s="634"/>
      <c r="AC38" s="634"/>
      <c r="AD38" s="634"/>
      <c r="AE38" s="634"/>
      <c r="AF38" s="419"/>
      <c r="AG38" s="148"/>
      <c r="AI38" s="148"/>
      <c r="AJ38" s="192" t="str">
        <f>Calculation!D11</f>
        <v>S4V2</v>
      </c>
      <c r="AK38" s="160" t="str">
        <f>'EAMD Scorecard'!D19</f>
        <v>Distribution channels</v>
      </c>
      <c r="AL38" s="291" t="str">
        <f>Calculation!H11</f>
        <v/>
      </c>
      <c r="AM38" s="291" t="str">
        <f>'Diagram Data'!E33</f>
        <v/>
      </c>
      <c r="AN38" s="291" t="str">
        <f>'Diagram Data'!F33</f>
        <v/>
      </c>
      <c r="AP38" s="192" t="str">
        <f>Calculation!D26</f>
        <v>D7V2</v>
      </c>
      <c r="AQ38" s="160" t="str">
        <f>'EAMD Scorecard'!D65</f>
        <v>Economic capacity to invest in productive use</v>
      </c>
      <c r="AR38" s="291" t="str">
        <f>Calculation!H26</f>
        <v/>
      </c>
      <c r="AS38" s="291" t="str">
        <f>'Diagram Data'!E58</f>
        <v/>
      </c>
      <c r="AT38" s="291" t="str">
        <f>'Diagram Data'!F58</f>
        <v/>
      </c>
      <c r="AV38" s="192" t="str">
        <f>Calculation!D35</f>
        <v>E4V1</v>
      </c>
      <c r="AW38" s="160" t="str">
        <f>'EAMD Scorecard'!D57</f>
        <v>Market information</v>
      </c>
      <c r="AX38" s="291" t="str">
        <f>Calculation!H35</f>
        <v/>
      </c>
      <c r="AY38" s="291" t="str">
        <f>'Diagram Data'!E67</f>
        <v/>
      </c>
      <c r="AZ38" s="291" t="str">
        <f>'Diagram Data'!F67</f>
        <v/>
      </c>
      <c r="BA38" s="148"/>
    </row>
    <row r="39" spans="1:53" ht="30.75" customHeight="1" thickTop="1" thickBot="1" x14ac:dyDescent="0.3">
      <c r="A39" s="148"/>
      <c r="B39" s="217"/>
      <c r="C39" s="9"/>
      <c r="D39" s="632" t="str">
        <f>IF(Calculation!N16&gt;0,Calculation!N16,"")</f>
        <v/>
      </c>
      <c r="E39" s="633"/>
      <c r="F39" s="633"/>
      <c r="G39" s="633"/>
      <c r="H39" s="633"/>
      <c r="I39" s="633"/>
      <c r="J39" s="633"/>
      <c r="K39" s="432" t="str">
        <f>IF(Calculation!N16&gt;0,VLOOKUP(D39,Calculation!E$3:H$50,4,FALSE),"")</f>
        <v/>
      </c>
      <c r="L39" s="430" t="str">
        <f>IF(Calculation!N16&gt;0,VLOOKUP(D39,Calculation!E$3:H$50,2,FALSE),"")</f>
        <v/>
      </c>
      <c r="M39" s="630" t="str">
        <f>IF(Calculation!P16&gt;0,Calculation!P16,"")</f>
        <v/>
      </c>
      <c r="N39" s="630"/>
      <c r="O39" s="630"/>
      <c r="P39" s="630"/>
      <c r="Q39" s="630"/>
      <c r="R39" s="630"/>
      <c r="S39" s="630"/>
      <c r="T39" s="630"/>
      <c r="U39" s="432" t="str">
        <f>IF(Calculation!P16&gt;0,VLOOKUP(M39,Calculation!E$3:H$50,4,FALSE),"")</f>
        <v/>
      </c>
      <c r="V39" s="431" t="str">
        <f>IF(Calculation!P16&gt;0,VLOOKUP(M39,Calculation!E$3:H$50,2,FALSE),"")</f>
        <v/>
      </c>
      <c r="W39" s="330"/>
      <c r="X39" s="634">
        <f>Calculation!R16</f>
        <v>0</v>
      </c>
      <c r="Y39" s="634"/>
      <c r="Z39" s="634"/>
      <c r="AA39" s="634"/>
      <c r="AB39" s="634"/>
      <c r="AC39" s="634"/>
      <c r="AD39" s="634"/>
      <c r="AE39" s="634"/>
      <c r="AF39" s="419"/>
      <c r="AG39" s="148"/>
      <c r="AI39" s="148"/>
      <c r="AJ39" s="192" t="str">
        <f>Calculation!D12</f>
        <v>S4V3</v>
      </c>
      <c r="AK39" s="160" t="str">
        <f>'EAMD Scorecard'!D21</f>
        <v>Initial suppliers</v>
      </c>
      <c r="AL39" s="291" t="str">
        <f>Calculation!H12</f>
        <v/>
      </c>
      <c r="AM39" s="291" t="str">
        <f>'Diagram Data'!E34</f>
        <v/>
      </c>
      <c r="AN39" s="291" t="str">
        <f>'Diagram Data'!F34</f>
        <v/>
      </c>
      <c r="AV39" s="192" t="str">
        <f>Calculation!D36</f>
        <v>E4V2</v>
      </c>
      <c r="AW39" s="160" t="str">
        <f>'EAMD Scorecard'!D58</f>
        <v>Market facilitation organisations</v>
      </c>
      <c r="AX39" s="291" t="str">
        <f>Calculation!H36</f>
        <v/>
      </c>
      <c r="AY39" s="291" t="str">
        <f>'Diagram Data'!E68</f>
        <v/>
      </c>
      <c r="AZ39" s="291" t="str">
        <f>'Diagram Data'!F68</f>
        <v/>
      </c>
      <c r="BA39" s="148"/>
    </row>
    <row r="40" spans="1:53" ht="30.75" customHeight="1" thickTop="1" thickBot="1" x14ac:dyDescent="0.3">
      <c r="A40" s="148"/>
      <c r="B40" s="217"/>
      <c r="C40" s="9"/>
      <c r="D40" s="632" t="str">
        <f>IF(Calculation!N17&gt;0,Calculation!N17,"")</f>
        <v/>
      </c>
      <c r="E40" s="633"/>
      <c r="F40" s="633"/>
      <c r="G40" s="633"/>
      <c r="H40" s="633"/>
      <c r="I40" s="633"/>
      <c r="J40" s="633"/>
      <c r="K40" s="432" t="str">
        <f>IF(Calculation!N17&gt;0,VLOOKUP(D40,Calculation!E$3:H$50,4,FALSE),"")</f>
        <v/>
      </c>
      <c r="L40" s="430" t="str">
        <f>IF(Calculation!N17&gt;0,VLOOKUP(D40,Calculation!E$3:H$50,2,FALSE),"")</f>
        <v/>
      </c>
      <c r="M40" s="630" t="str">
        <f>IF(Calculation!P17&gt;0,Calculation!P17,"")</f>
        <v/>
      </c>
      <c r="N40" s="630"/>
      <c r="O40" s="630"/>
      <c r="P40" s="630"/>
      <c r="Q40" s="630"/>
      <c r="R40" s="630"/>
      <c r="S40" s="630"/>
      <c r="T40" s="630"/>
      <c r="U40" s="432" t="str">
        <f>IF(Calculation!P17&gt;0,VLOOKUP(M40,Calculation!E$3:H$50,4,FALSE),"")</f>
        <v/>
      </c>
      <c r="V40" s="431" t="str">
        <f>IF(Calculation!P17&gt;0,VLOOKUP(M40,Calculation!E$3:H$50,2,FALSE),"")</f>
        <v/>
      </c>
      <c r="W40" s="330"/>
      <c r="X40" s="634">
        <f>Calculation!R17</f>
        <v>0</v>
      </c>
      <c r="Y40" s="634"/>
      <c r="Z40" s="634"/>
      <c r="AA40" s="634"/>
      <c r="AB40" s="634"/>
      <c r="AC40" s="634"/>
      <c r="AD40" s="634"/>
      <c r="AE40" s="634"/>
      <c r="AF40" s="419"/>
      <c r="AG40" s="148"/>
      <c r="AI40" s="148"/>
      <c r="AJ40" s="192" t="str">
        <f>Calculation!D13</f>
        <v>S4V4</v>
      </c>
      <c r="AK40" s="160" t="str">
        <f>'EAMD Scorecard'!D22</f>
        <v>After-sales service providers</v>
      </c>
      <c r="AL40" s="291" t="str">
        <f>Calculation!H13</f>
        <v/>
      </c>
      <c r="AM40" s="291" t="str">
        <f>'Diagram Data'!E35</f>
        <v/>
      </c>
      <c r="AN40" s="291" t="str">
        <f>'Diagram Data'!F35</f>
        <v/>
      </c>
      <c r="AP40" s="412"/>
      <c r="AQ40" s="614" t="s">
        <v>769</v>
      </c>
      <c r="AR40" s="614"/>
      <c r="AS40" s="614"/>
      <c r="AT40" s="12"/>
      <c r="AV40" s="192" t="str">
        <f>Calculation!D37</f>
        <v>E4V3</v>
      </c>
      <c r="AW40" s="160" t="str">
        <f>'EAMD Scorecard'!D59</f>
        <v>Awareness campaigns</v>
      </c>
      <c r="AX40" s="291" t="str">
        <f>Calculation!H37</f>
        <v/>
      </c>
      <c r="AY40" s="291" t="str">
        <f>'Diagram Data'!E69</f>
        <v/>
      </c>
      <c r="AZ40" s="291" t="str">
        <f>'Diagram Data'!F69</f>
        <v/>
      </c>
      <c r="BA40" s="148"/>
    </row>
    <row r="41" spans="1:53" ht="30.75" customHeight="1" thickTop="1" thickBot="1" x14ac:dyDescent="0.3">
      <c r="A41" s="148"/>
      <c r="B41" s="217"/>
      <c r="C41" s="9"/>
      <c r="D41" s="632" t="str">
        <f>IF(Calculation!N18&gt;0,Calculation!N18,"")</f>
        <v/>
      </c>
      <c r="E41" s="633"/>
      <c r="F41" s="633"/>
      <c r="G41" s="633"/>
      <c r="H41" s="633"/>
      <c r="I41" s="633"/>
      <c r="J41" s="633"/>
      <c r="K41" s="432" t="str">
        <f>IF(Calculation!N18&gt;0,VLOOKUP(D41,Calculation!E$3:H$50,4,FALSE),"")</f>
        <v/>
      </c>
      <c r="L41" s="430" t="str">
        <f>IF(Calculation!N18&gt;0,VLOOKUP(D41,Calculation!E$3:H$50,2,FALSE),"")</f>
        <v/>
      </c>
      <c r="M41" s="630" t="str">
        <f>IF(Calculation!P18&gt;0,Calculation!P18,"")</f>
        <v/>
      </c>
      <c r="N41" s="630"/>
      <c r="O41" s="630"/>
      <c r="P41" s="630"/>
      <c r="Q41" s="630"/>
      <c r="R41" s="630"/>
      <c r="S41" s="630"/>
      <c r="T41" s="630"/>
      <c r="U41" s="432" t="str">
        <f>IF(Calculation!P18&gt;0,VLOOKUP(M41,Calculation!E$3:H$50,4,FALSE),"")</f>
        <v/>
      </c>
      <c r="V41" s="431" t="str">
        <f>IF(Calculation!P18&gt;0,VLOOKUP(M41,Calculation!E$3:H$50,2,FALSE),"")</f>
        <v/>
      </c>
      <c r="W41" s="330"/>
      <c r="X41" s="634">
        <f>Calculation!R18</f>
        <v>0</v>
      </c>
      <c r="Y41" s="634"/>
      <c r="Z41" s="634"/>
      <c r="AA41" s="634"/>
      <c r="AB41" s="634"/>
      <c r="AC41" s="634"/>
      <c r="AD41" s="634"/>
      <c r="AE41" s="634"/>
      <c r="AF41" s="419"/>
      <c r="AG41" s="148"/>
      <c r="AI41" s="148"/>
      <c r="AJ41" s="192" t="str">
        <f>Calculation!D14</f>
        <v>S5V1</v>
      </c>
      <c r="AK41" s="160" t="str">
        <f>'EAMD Scorecard'!D26</f>
        <v>Warranties</v>
      </c>
      <c r="AL41" s="291" t="str">
        <f>Calculation!H14</f>
        <v/>
      </c>
      <c r="AM41" s="291" t="str">
        <f>'Diagram Data'!E36</f>
        <v/>
      </c>
      <c r="AN41" s="291" t="str">
        <f>'Diagram Data'!F36</f>
        <v/>
      </c>
      <c r="AQ41" s="614"/>
      <c r="AR41" s="614"/>
      <c r="AS41" s="614"/>
      <c r="AT41" s="12"/>
      <c r="AV41" s="192" t="str">
        <f>Calculation!D38</f>
        <v>E5V1</v>
      </c>
      <c r="AW41" s="160" t="str">
        <f>'EAMD Scorecard'!D60</f>
        <v>Technical courses</v>
      </c>
      <c r="AX41" s="291" t="str">
        <f>Calculation!H38</f>
        <v/>
      </c>
      <c r="AY41" s="291" t="str">
        <f>'Diagram Data'!E70</f>
        <v/>
      </c>
      <c r="AZ41" s="291" t="str">
        <f>'Diagram Data'!F70</f>
        <v/>
      </c>
      <c r="BA41" s="148"/>
    </row>
    <row r="42" spans="1:53" ht="30.75" customHeight="1" thickTop="1" thickBot="1" x14ac:dyDescent="0.3">
      <c r="A42" s="148"/>
      <c r="B42" s="217"/>
      <c r="C42" s="9"/>
      <c r="D42" s="632" t="str">
        <f>IF(Calculation!N19&gt;0,Calculation!N19,"")</f>
        <v/>
      </c>
      <c r="E42" s="633"/>
      <c r="F42" s="633"/>
      <c r="G42" s="633"/>
      <c r="H42" s="633"/>
      <c r="I42" s="633"/>
      <c r="J42" s="633"/>
      <c r="K42" s="432" t="str">
        <f>IF(Calculation!N19&gt;0,VLOOKUP(D42,Calculation!E$3:H$50,4,FALSE),"")</f>
        <v/>
      </c>
      <c r="L42" s="430" t="str">
        <f>IF(Calculation!N19&gt;0,VLOOKUP(D42,Calculation!E$3:H$50,2,FALSE),"")</f>
        <v/>
      </c>
      <c r="M42" s="630" t="str">
        <f>IF(Calculation!P19&gt;0,Calculation!P19,"")</f>
        <v/>
      </c>
      <c r="N42" s="630"/>
      <c r="O42" s="630"/>
      <c r="P42" s="630"/>
      <c r="Q42" s="630"/>
      <c r="R42" s="630"/>
      <c r="S42" s="630"/>
      <c r="T42" s="630"/>
      <c r="U42" s="432" t="str">
        <f>IF(Calculation!P19&gt;0,VLOOKUP(M42,Calculation!E$3:H$50,4,FALSE),"")</f>
        <v/>
      </c>
      <c r="V42" s="431" t="str">
        <f>IF(Calculation!P19&gt;0,VLOOKUP(M42,Calculation!E$3:H$50,2,FALSE),"")</f>
        <v/>
      </c>
      <c r="W42" s="330"/>
      <c r="X42" s="634">
        <f>Calculation!R19</f>
        <v>0</v>
      </c>
      <c r="Y42" s="634"/>
      <c r="Z42" s="634"/>
      <c r="AA42" s="634"/>
      <c r="AB42" s="634"/>
      <c r="AC42" s="634"/>
      <c r="AD42" s="634"/>
      <c r="AE42" s="634"/>
      <c r="AF42" s="419"/>
      <c r="AG42" s="148"/>
      <c r="AI42" s="148"/>
      <c r="AJ42" s="192" t="str">
        <f>Calculation!D15</f>
        <v>S6V1</v>
      </c>
      <c r="AK42" s="160" t="str">
        <f>'EAMD Scorecard'!D27</f>
        <v>Business skills</v>
      </c>
      <c r="AL42" s="291" t="str">
        <f>Calculation!H15</f>
        <v/>
      </c>
      <c r="AM42" s="291" t="str">
        <f>'Diagram Data'!E37</f>
        <v/>
      </c>
      <c r="AN42" s="291" t="str">
        <f>'Diagram Data'!F37</f>
        <v/>
      </c>
      <c r="AQ42" s="614"/>
      <c r="AR42" s="614"/>
      <c r="AS42" s="614"/>
      <c r="AT42" s="12"/>
      <c r="AV42" s="192" t="str">
        <f>Calculation!D39</f>
        <v>E5V2</v>
      </c>
      <c r="AW42" s="160" t="str">
        <f>'EAMD Scorecard'!D61</f>
        <v>Business Development Training</v>
      </c>
      <c r="AX42" s="291" t="str">
        <f>Calculation!H39</f>
        <v/>
      </c>
      <c r="AY42" s="291" t="str">
        <f>'Diagram Data'!E71</f>
        <v/>
      </c>
      <c r="AZ42" s="291" t="str">
        <f>'Diagram Data'!F71</f>
        <v/>
      </c>
      <c r="BA42" s="148"/>
    </row>
    <row r="43" spans="1:53" ht="30.75" customHeight="1" thickTop="1" thickBot="1" x14ac:dyDescent="0.3">
      <c r="A43" s="148"/>
      <c r="B43" s="217"/>
      <c r="C43" s="9"/>
      <c r="D43" s="632" t="str">
        <f>IF(Calculation!N20&gt;0,Calculation!N20,"")</f>
        <v/>
      </c>
      <c r="E43" s="633"/>
      <c r="F43" s="633"/>
      <c r="G43" s="633"/>
      <c r="H43" s="633"/>
      <c r="I43" s="633"/>
      <c r="J43" s="633"/>
      <c r="K43" s="432" t="str">
        <f>IF(Calculation!N20&gt;0,VLOOKUP(D43,Calculation!E$3:H$50,4,FALSE),"")</f>
        <v/>
      </c>
      <c r="L43" s="430" t="str">
        <f>IF(Calculation!N20&gt;0,VLOOKUP(D43,Calculation!E$3:H$50,2,FALSE),"")</f>
        <v/>
      </c>
      <c r="M43" s="630" t="str">
        <f>IF(Calculation!P20&gt;0,Calculation!P20,"")</f>
        <v/>
      </c>
      <c r="N43" s="630"/>
      <c r="O43" s="630"/>
      <c r="P43" s="630"/>
      <c r="Q43" s="630"/>
      <c r="R43" s="630"/>
      <c r="S43" s="630"/>
      <c r="T43" s="630"/>
      <c r="U43" s="432" t="str">
        <f>IF(Calculation!P20&gt;0,VLOOKUP(M43,Calculation!E$3:H$50,4,FALSE),"")</f>
        <v/>
      </c>
      <c r="V43" s="431" t="str">
        <f>IF(Calculation!P20&gt;0,VLOOKUP(M43,Calculation!E$3:H$50,2,FALSE),"")</f>
        <v/>
      </c>
      <c r="W43" s="330"/>
      <c r="X43" s="634">
        <f>Calculation!R20</f>
        <v>0</v>
      </c>
      <c r="Y43" s="634"/>
      <c r="Z43" s="634"/>
      <c r="AA43" s="634"/>
      <c r="AB43" s="634"/>
      <c r="AC43" s="634"/>
      <c r="AD43" s="634"/>
      <c r="AE43" s="634"/>
      <c r="AF43" s="419"/>
      <c r="AG43" s="148"/>
      <c r="AI43" s="148"/>
      <c r="AJ43" s="192" t="str">
        <f>Calculation!D16</f>
        <v>S6V2</v>
      </c>
      <c r="AK43" s="160" t="str">
        <f>'EAMD Scorecard'!D29</f>
        <v>Marketing skills</v>
      </c>
      <c r="AL43" s="291" t="str">
        <f>Calculation!H16</f>
        <v/>
      </c>
      <c r="AM43" s="291" t="str">
        <f>'Diagram Data'!E38</f>
        <v/>
      </c>
      <c r="AN43" s="291" t="str">
        <f>'Diagram Data'!F38</f>
        <v/>
      </c>
      <c r="AQ43" s="614"/>
      <c r="AR43" s="614"/>
      <c r="AS43" s="614"/>
      <c r="AT43" s="12"/>
      <c r="AV43" s="192" t="str">
        <f>Calculation!D40</f>
        <v>E5V3</v>
      </c>
      <c r="AW43" s="160" t="str">
        <f>'EAMD Scorecard'!D62</f>
        <v>User training</v>
      </c>
      <c r="AX43" s="291" t="str">
        <f>Calculation!H40</f>
        <v/>
      </c>
      <c r="AY43" s="291" t="str">
        <f>'Diagram Data'!E72</f>
        <v/>
      </c>
      <c r="AZ43" s="291" t="str">
        <f>'Diagram Data'!F72</f>
        <v/>
      </c>
      <c r="BA43" s="148"/>
    </row>
    <row r="44" spans="1:53" ht="30.75" customHeight="1" thickTop="1" thickBot="1" x14ac:dyDescent="0.3">
      <c r="A44" s="148"/>
      <c r="B44" s="217"/>
      <c r="C44" s="9"/>
      <c r="D44" s="632" t="str">
        <f>IF(Calculation!N21&gt;0,Calculation!N21,"")</f>
        <v/>
      </c>
      <c r="E44" s="633"/>
      <c r="F44" s="633"/>
      <c r="G44" s="633"/>
      <c r="H44" s="633"/>
      <c r="I44" s="633"/>
      <c r="J44" s="633"/>
      <c r="K44" s="432" t="str">
        <f>IF(Calculation!N21&gt;0,VLOOKUP(D44,Calculation!E$3:H$50,4,FALSE),"")</f>
        <v/>
      </c>
      <c r="L44" s="430" t="str">
        <f>IF(Calculation!N21&gt;0,VLOOKUP(D44,Calculation!E$3:H$50,2,FALSE),"")</f>
        <v/>
      </c>
      <c r="M44" s="630" t="str">
        <f>IF(Calculation!P21&gt;0,Calculation!P21,"")</f>
        <v/>
      </c>
      <c r="N44" s="630"/>
      <c r="O44" s="630"/>
      <c r="P44" s="630"/>
      <c r="Q44" s="630"/>
      <c r="R44" s="630"/>
      <c r="S44" s="630"/>
      <c r="T44" s="630"/>
      <c r="U44" s="432" t="str">
        <f>IF(Calculation!P21&gt;0,VLOOKUP(M44,Calculation!E$3:H$50,4,FALSE),"")</f>
        <v/>
      </c>
      <c r="V44" s="431" t="str">
        <f>IF(Calculation!P21&gt;0,VLOOKUP(M44,Calculation!E$3:H$50,2,FALSE),"")</f>
        <v/>
      </c>
      <c r="W44" s="330"/>
      <c r="X44" s="634">
        <f>Calculation!R21</f>
        <v>0</v>
      </c>
      <c r="Y44" s="634"/>
      <c r="Z44" s="634"/>
      <c r="AA44" s="634"/>
      <c r="AB44" s="634"/>
      <c r="AC44" s="634"/>
      <c r="AD44" s="634"/>
      <c r="AE44" s="634"/>
      <c r="AF44" s="419"/>
      <c r="AG44" s="148"/>
      <c r="AI44" s="148"/>
      <c r="AJ44" s="192" t="str">
        <f>Calculation!D17</f>
        <v>S6V3</v>
      </c>
      <c r="AK44" s="160" t="str">
        <f>'EAMD Scorecard'!D31</f>
        <v>Production skills</v>
      </c>
      <c r="AL44" s="291" t="str">
        <f>Calculation!H17</f>
        <v/>
      </c>
      <c r="AM44" s="291" t="str">
        <f>'Diagram Data'!E39</f>
        <v/>
      </c>
      <c r="AN44" s="291" t="str">
        <f>'Diagram Data'!F39</f>
        <v/>
      </c>
      <c r="AO44" s="403"/>
      <c r="AP44" s="403"/>
      <c r="AQ44" s="615"/>
      <c r="AR44" s="615"/>
      <c r="AS44" s="615"/>
      <c r="AT44" s="413"/>
      <c r="AU44" s="403"/>
      <c r="AV44" s="403"/>
      <c r="AW44" s="403"/>
      <c r="AX44" s="403"/>
      <c r="AY44" s="403"/>
      <c r="AZ44" s="414"/>
      <c r="BA44" s="148"/>
    </row>
    <row r="45" spans="1:53" ht="30.75" customHeight="1" thickTop="1" thickBot="1" x14ac:dyDescent="0.3">
      <c r="A45" s="148"/>
      <c r="B45" s="217"/>
      <c r="C45" s="9"/>
      <c r="D45" s="632" t="str">
        <f>IF(Calculation!N22&gt;0,Calculation!N22,"")</f>
        <v/>
      </c>
      <c r="E45" s="633"/>
      <c r="F45" s="633"/>
      <c r="G45" s="633"/>
      <c r="H45" s="633"/>
      <c r="I45" s="633"/>
      <c r="J45" s="633"/>
      <c r="K45" s="432" t="str">
        <f>IF(Calculation!N22&gt;0,VLOOKUP(D45,Calculation!E$3:H$50,4,FALSE),"")</f>
        <v/>
      </c>
      <c r="L45" s="430" t="str">
        <f>IF(Calculation!N22&gt;0,VLOOKUP(D45,Calculation!E$3:H$50,2,FALSE),"")</f>
        <v/>
      </c>
      <c r="M45" s="630" t="str">
        <f>IF(Calculation!P22&gt;0,Calculation!P22,"")</f>
        <v/>
      </c>
      <c r="N45" s="630"/>
      <c r="O45" s="630"/>
      <c r="P45" s="630"/>
      <c r="Q45" s="630"/>
      <c r="R45" s="630"/>
      <c r="S45" s="630"/>
      <c r="T45" s="630"/>
      <c r="U45" s="432" t="str">
        <f>IF(Calculation!P22&gt;0,VLOOKUP(M45,Calculation!E$3:H$50,4,FALSE),"")</f>
        <v/>
      </c>
      <c r="V45" s="431" t="str">
        <f>IF(Calculation!P22&gt;0,VLOOKUP(M45,Calculation!E$3:H$50,2,FALSE),"")</f>
        <v/>
      </c>
      <c r="W45" s="330"/>
      <c r="X45" s="634">
        <f>Calculation!R22</f>
        <v>0</v>
      </c>
      <c r="Y45" s="634"/>
      <c r="Z45" s="634"/>
      <c r="AA45" s="634"/>
      <c r="AB45" s="634"/>
      <c r="AC45" s="634"/>
      <c r="AD45" s="634"/>
      <c r="AE45" s="634"/>
      <c r="AF45" s="419"/>
      <c r="AG45" s="148"/>
      <c r="AI45" s="148"/>
      <c r="AJ45" s="148"/>
      <c r="AK45" s="148"/>
      <c r="AL45" s="148"/>
      <c r="AM45" s="148"/>
      <c r="AN45" s="148"/>
      <c r="AO45" s="148"/>
      <c r="AP45" s="148"/>
      <c r="AQ45" s="148"/>
      <c r="AR45" s="148"/>
      <c r="AS45" s="148"/>
      <c r="AT45" s="148"/>
      <c r="AU45" s="148"/>
      <c r="AV45" s="148"/>
      <c r="AW45" s="148"/>
      <c r="AX45" s="148"/>
      <c r="AY45" s="148"/>
      <c r="AZ45" s="148"/>
      <c r="BA45" s="148"/>
    </row>
    <row r="46" spans="1:53" ht="30.75" customHeight="1" thickTop="1" thickBot="1" x14ac:dyDescent="0.55000000000000004">
      <c r="A46" s="148"/>
      <c r="B46" s="217"/>
      <c r="C46" s="9"/>
      <c r="D46" s="632" t="str">
        <f>IF(Calculation!N23&gt;0,Calculation!N23,"")</f>
        <v/>
      </c>
      <c r="E46" s="633"/>
      <c r="F46" s="633"/>
      <c r="G46" s="633"/>
      <c r="H46" s="633"/>
      <c r="I46" s="633"/>
      <c r="J46" s="633"/>
      <c r="K46" s="432" t="str">
        <f>IF(Calculation!N23&gt;0,VLOOKUP(D46,Calculation!E$3:H$50,4,FALSE),"")</f>
        <v/>
      </c>
      <c r="L46" s="430" t="str">
        <f>IF(Calculation!N23&gt;0,VLOOKUP(D46,Calculation!E$3:H$50,2,FALSE),"")</f>
        <v/>
      </c>
      <c r="M46" s="630" t="str">
        <f>IF(Calculation!P23&gt;0,Calculation!P23,"")</f>
        <v/>
      </c>
      <c r="N46" s="630"/>
      <c r="O46" s="630"/>
      <c r="P46" s="630"/>
      <c r="Q46" s="630"/>
      <c r="R46" s="630"/>
      <c r="S46" s="630"/>
      <c r="T46" s="630"/>
      <c r="U46" s="432" t="str">
        <f>IF(Calculation!P23&gt;0,VLOOKUP(M46,Calculation!E$3:H$50,4,FALSE),"")</f>
        <v/>
      </c>
      <c r="V46" s="431" t="str">
        <f>IF(Calculation!P23&gt;0,VLOOKUP(M46,Calculation!E$3:H$50,2,FALSE),"")</f>
        <v/>
      </c>
      <c r="W46" s="330"/>
      <c r="X46" s="634">
        <f>Calculation!R23</f>
        <v>0</v>
      </c>
      <c r="Y46" s="634"/>
      <c r="Z46" s="634"/>
      <c r="AA46" s="634"/>
      <c r="AB46" s="634"/>
      <c r="AC46" s="634"/>
      <c r="AD46" s="634"/>
      <c r="AE46" s="634"/>
      <c r="AF46" s="419"/>
      <c r="AG46" s="148"/>
      <c r="AI46" s="148"/>
      <c r="AJ46" s="601" t="str">
        <f>_xlfn.CONCAT(AL29," summary")</f>
        <v>2024 summary</v>
      </c>
      <c r="AK46" s="602"/>
      <c r="AL46" s="602"/>
      <c r="AM46" s="602"/>
      <c r="AN46" s="603"/>
      <c r="AO46" s="148"/>
      <c r="AP46" s="604" t="str">
        <f>IF(ISNUMBER(AM29),_xlfn.CONCAT(AM29," summary"),"")</f>
        <v/>
      </c>
      <c r="AQ46" s="605"/>
      <c r="AR46" s="605"/>
      <c r="AS46" s="605"/>
      <c r="AT46" s="606"/>
      <c r="AU46" s="148"/>
      <c r="AV46" s="607" t="str">
        <f>IF(ISNUMBER(AN29),_xlfn.CONCAT(AN29," summary"),"")</f>
        <v/>
      </c>
      <c r="AW46" s="608"/>
      <c r="AX46" s="608"/>
      <c r="AY46" s="608"/>
      <c r="AZ46" s="609"/>
      <c r="BA46" s="148"/>
    </row>
    <row r="47" spans="1:53" ht="30.75" customHeight="1" thickTop="1" thickBot="1" x14ac:dyDescent="0.3">
      <c r="A47" s="148"/>
      <c r="B47" s="217"/>
      <c r="C47" s="9"/>
      <c r="D47" s="632" t="str">
        <f>IF(Calculation!N24&gt;0,Calculation!N24,"")</f>
        <v/>
      </c>
      <c r="E47" s="633"/>
      <c r="F47" s="633"/>
      <c r="G47" s="633"/>
      <c r="H47" s="633"/>
      <c r="I47" s="633"/>
      <c r="J47" s="633"/>
      <c r="K47" s="432" t="str">
        <f>IF(Calculation!N24&gt;0,VLOOKUP(D47,Calculation!E$3:H$50,4,FALSE),"")</f>
        <v/>
      </c>
      <c r="L47" s="430" t="str">
        <f>IF(Calculation!N24&gt;0,VLOOKUP(D47,Calculation!E$3:H$50,2,FALSE),"")</f>
        <v/>
      </c>
      <c r="M47" s="630" t="str">
        <f>IF(Calculation!P24&gt;0,Calculation!P24,"")</f>
        <v/>
      </c>
      <c r="N47" s="630"/>
      <c r="O47" s="630"/>
      <c r="P47" s="630"/>
      <c r="Q47" s="630"/>
      <c r="R47" s="630"/>
      <c r="S47" s="630"/>
      <c r="T47" s="630"/>
      <c r="U47" s="432" t="str">
        <f>IF(Calculation!P24&gt;0,VLOOKUP(M47,Calculation!E$3:H$50,4,FALSE),"")</f>
        <v/>
      </c>
      <c r="V47" s="431" t="str">
        <f>IF(Calculation!P24&gt;0,VLOOKUP(M47,Calculation!E$3:H$50,2,FALSE),"")</f>
        <v/>
      </c>
      <c r="W47" s="330"/>
      <c r="X47" s="634">
        <f>Calculation!R24</f>
        <v>0</v>
      </c>
      <c r="Y47" s="634"/>
      <c r="Z47" s="634"/>
      <c r="AA47" s="634"/>
      <c r="AB47" s="634"/>
      <c r="AC47" s="634"/>
      <c r="AD47" s="634"/>
      <c r="AE47" s="634"/>
      <c r="AF47" s="419"/>
      <c r="AG47" s="148"/>
      <c r="AI47" s="148"/>
      <c r="AJ47" s="595" t="s">
        <v>775</v>
      </c>
      <c r="AK47" s="597"/>
      <c r="AL47" s="593" t="e">
        <f>INDEX(Calculation!$AL$3:$AL$13,MATCH(MROUND(AVERAGE(Calculation!F3:F17),0.5),Calculation!$AM$3:$AM$13,0))</f>
        <v>#DIV/0!</v>
      </c>
      <c r="AM47" s="593"/>
      <c r="AN47" s="594"/>
      <c r="AO47" s="422"/>
      <c r="AP47" s="595" t="s">
        <v>775</v>
      </c>
      <c r="AQ47" s="597"/>
      <c r="AR47" s="593" t="str">
        <f>IF(ISNUMBER(AM29),INDEX(Calculation!$AL$3:$AL$13,MATCH(MROUND(AVERAGE('Diagram Data'!C25:C49),0.5),Calculation!$AM$3:$AM$13,0)),"")</f>
        <v/>
      </c>
      <c r="AS47" s="593"/>
      <c r="AT47" s="594"/>
      <c r="AU47" s="422"/>
      <c r="AV47" s="595" t="s">
        <v>775</v>
      </c>
      <c r="AW47" s="597"/>
      <c r="AX47" s="593" t="str">
        <f>IF(ISNUMBER(AN29),INDEX(Calculation!$AL$3:$AL$13,MATCH(MROUND(AVERAGE('Diagram Data'!D25:D49),0.5),Calculation!$AM$3:$AM$13,0)),"")</f>
        <v/>
      </c>
      <c r="AY47" s="593"/>
      <c r="AZ47" s="594"/>
      <c r="BA47" s="148"/>
    </row>
    <row r="48" spans="1:53" ht="30.75" customHeight="1" thickTop="1" thickBot="1" x14ac:dyDescent="0.3">
      <c r="A48" s="148"/>
      <c r="B48" s="217"/>
      <c r="C48" s="9"/>
      <c r="D48" s="632" t="str">
        <f>IF(Calculation!N25&gt;0,Calculation!N25,"")</f>
        <v/>
      </c>
      <c r="E48" s="633"/>
      <c r="F48" s="633"/>
      <c r="G48" s="633"/>
      <c r="H48" s="633"/>
      <c r="I48" s="633"/>
      <c r="J48" s="633"/>
      <c r="K48" s="432" t="str">
        <f>IF(Calculation!N25&gt;0,VLOOKUP(D48,Calculation!E$3:H$50,4,FALSE),"")</f>
        <v/>
      </c>
      <c r="L48" s="430" t="str">
        <f>IF(Calculation!N25&gt;0,VLOOKUP(D48,Calculation!E$3:H$50,2,FALSE),"")</f>
        <v/>
      </c>
      <c r="M48" s="630" t="str">
        <f>IF(Calculation!P25&gt;0,Calculation!P25,"")</f>
        <v/>
      </c>
      <c r="N48" s="630"/>
      <c r="O48" s="630"/>
      <c r="P48" s="630"/>
      <c r="Q48" s="630"/>
      <c r="R48" s="630"/>
      <c r="S48" s="630"/>
      <c r="T48" s="630"/>
      <c r="U48" s="432" t="str">
        <f>IF(Calculation!P25&gt;0,VLOOKUP(M48,Calculation!E$3:H$50,4,FALSE),"")</f>
        <v/>
      </c>
      <c r="V48" s="431" t="str">
        <f>IF(Calculation!P25&gt;0,VLOOKUP(M48,Calculation!E$3:H$50,2,FALSE),"")</f>
        <v/>
      </c>
      <c r="W48" s="330"/>
      <c r="X48" s="634">
        <f>Calculation!R25</f>
        <v>0</v>
      </c>
      <c r="Y48" s="634"/>
      <c r="Z48" s="634"/>
      <c r="AA48" s="634"/>
      <c r="AB48" s="634"/>
      <c r="AC48" s="634"/>
      <c r="AD48" s="634"/>
      <c r="AE48" s="634"/>
      <c r="AF48" s="419"/>
      <c r="AG48" s="148"/>
      <c r="AI48" s="148"/>
      <c r="AJ48" s="595" t="s">
        <v>776</v>
      </c>
      <c r="AK48" s="596"/>
      <c r="AL48" s="592" t="e">
        <f>INDEX(Calculation!$AL$3:$AL$13,MATCH(MROUND(AVERAGE(Calculation!F18:F26),0.5),Calculation!$AM$3:$AM$13,0))</f>
        <v>#DIV/0!</v>
      </c>
      <c r="AM48" s="593"/>
      <c r="AN48" s="594"/>
      <c r="AO48" s="422"/>
      <c r="AP48" s="595" t="s">
        <v>776</v>
      </c>
      <c r="AQ48" s="596"/>
      <c r="AR48" s="592" t="str">
        <f>IF(ISNUMBER(AM29),INDEX(Calculation!$AL$3:$AL$13,MATCH(MROUND(AVERAGE('Diagram Data'!C50:C58,'Diagram Data'!C74:C75),0.5),Calculation!$AM$3:$AM$13,0)),"")</f>
        <v/>
      </c>
      <c r="AS48" s="593"/>
      <c r="AT48" s="594"/>
      <c r="AU48" s="422"/>
      <c r="AV48" s="595" t="s">
        <v>776</v>
      </c>
      <c r="AW48" s="596"/>
      <c r="AX48" s="592" t="str">
        <f>IF(ISNUMBER(AN29),INDEX(Calculation!$AL$3:$AL$13,MATCH(MROUND(AVERAGE('Diagram Data'!D50:D58,'Diagram Data'!D74:D75),0.5),Calculation!$AM$3:$AM$13,0)),"")</f>
        <v/>
      </c>
      <c r="AY48" s="593"/>
      <c r="AZ48" s="594"/>
      <c r="BA48" s="148"/>
    </row>
    <row r="49" spans="1:53" ht="30.75" customHeight="1" thickTop="1" thickBot="1" x14ac:dyDescent="0.3">
      <c r="A49" s="148"/>
      <c r="B49" s="217"/>
      <c r="C49" s="9"/>
      <c r="D49" s="632" t="str">
        <f>IF(Calculation!N26&gt;0,Calculation!N26,"")</f>
        <v/>
      </c>
      <c r="E49" s="633"/>
      <c r="F49" s="633"/>
      <c r="G49" s="633"/>
      <c r="H49" s="633"/>
      <c r="I49" s="633"/>
      <c r="J49" s="633"/>
      <c r="K49" s="432" t="str">
        <f>IF(Calculation!N26&gt;0,VLOOKUP(D49,Calculation!E$3:H$50,4,FALSE),"")</f>
        <v/>
      </c>
      <c r="L49" s="430" t="str">
        <f>IF(Calculation!N26&gt;0,VLOOKUP(D49,Calculation!E$3:H$50,2,FALSE),"")</f>
        <v/>
      </c>
      <c r="M49" s="630" t="str">
        <f>IF(Calculation!P26&gt;0,Calculation!P26,"")</f>
        <v/>
      </c>
      <c r="N49" s="630"/>
      <c r="O49" s="630"/>
      <c r="P49" s="630"/>
      <c r="Q49" s="630"/>
      <c r="R49" s="630"/>
      <c r="S49" s="630"/>
      <c r="T49" s="630"/>
      <c r="U49" s="432" t="str">
        <f>IF(Calculation!P26&gt;0,VLOOKUP(M49,Calculation!E$3:H$50,4,FALSE),"")</f>
        <v/>
      </c>
      <c r="V49" s="431" t="str">
        <f>IF(Calculation!P26&gt;0,VLOOKUP(M49,Calculation!E$3:H$50,2,FALSE),"")</f>
        <v/>
      </c>
      <c r="W49" s="330"/>
      <c r="X49" s="634">
        <f>Calculation!R26</f>
        <v>0</v>
      </c>
      <c r="Y49" s="634"/>
      <c r="Z49" s="634"/>
      <c r="AA49" s="634"/>
      <c r="AB49" s="634"/>
      <c r="AC49" s="634"/>
      <c r="AD49" s="634"/>
      <c r="AE49" s="634"/>
      <c r="AF49" s="419"/>
      <c r="AG49" s="148"/>
      <c r="AI49" s="148"/>
      <c r="AJ49" s="595" t="s">
        <v>777</v>
      </c>
      <c r="AK49" s="596"/>
      <c r="AL49" s="592" t="e">
        <f>INDEX(Calculation!$AL$3:$AL$13,MATCH(MROUND(AVERAGE(Calculation!F27:F40),0.5),Calculation!$AM$3:$AM$13,0))</f>
        <v>#DIV/0!</v>
      </c>
      <c r="AM49" s="593"/>
      <c r="AN49" s="594"/>
      <c r="AO49" s="422"/>
      <c r="AP49" s="595" t="s">
        <v>777</v>
      </c>
      <c r="AQ49" s="596"/>
      <c r="AR49" s="592" t="str">
        <f>IF(ISNUMBER(AM29),INDEX(Calculation!$AL$3:$AL$13,MATCH(MROUND(AVERAGE('Diagram Data'!C59:C73),0.5),Calculation!$AM$3:$AM$13,0)),"")</f>
        <v/>
      </c>
      <c r="AS49" s="593"/>
      <c r="AT49" s="594"/>
      <c r="AU49" s="422"/>
      <c r="AV49" s="595" t="s">
        <v>777</v>
      </c>
      <c r="AW49" s="596"/>
      <c r="AX49" s="592" t="str">
        <f>IF(ISNUMBER(AN29),INDEX(Calculation!$AL$3:$AL$13,MATCH(MROUND(AVERAGE('Diagram Data'!D59:D73),0.5),Calculation!$AM$3:$AM$13,0)),"")</f>
        <v/>
      </c>
      <c r="AY49" s="593"/>
      <c r="AZ49" s="594"/>
      <c r="BA49" s="148"/>
    </row>
    <row r="50" spans="1:53" ht="30.75" customHeight="1" thickTop="1" thickBot="1" x14ac:dyDescent="0.3">
      <c r="A50" s="148"/>
      <c r="B50" s="217"/>
      <c r="C50" s="9"/>
      <c r="D50" s="632" t="str">
        <f>IF(Calculation!N27&gt;0,Calculation!N27,"")</f>
        <v/>
      </c>
      <c r="E50" s="633"/>
      <c r="F50" s="633"/>
      <c r="G50" s="633"/>
      <c r="H50" s="633"/>
      <c r="I50" s="633"/>
      <c r="J50" s="633"/>
      <c r="K50" s="432" t="str">
        <f>IF(Calculation!N27&gt;0,VLOOKUP(D50,Calculation!E$3:H$50,4,FALSE),"")</f>
        <v/>
      </c>
      <c r="L50" s="430" t="str">
        <f>IF(Calculation!N27&gt;0,VLOOKUP(D50,Calculation!E$3:H$50,2,FALSE),"")</f>
        <v/>
      </c>
      <c r="M50" s="630" t="str">
        <f>IF(Calculation!P27&gt;0,Calculation!P27,"")</f>
        <v/>
      </c>
      <c r="N50" s="630"/>
      <c r="O50" s="630"/>
      <c r="P50" s="630"/>
      <c r="Q50" s="630"/>
      <c r="R50" s="630"/>
      <c r="S50" s="630"/>
      <c r="T50" s="630"/>
      <c r="U50" s="432" t="str">
        <f>IF(Calculation!P27&gt;0,VLOOKUP(M50,Calculation!E$3:H$50,4,FALSE),"")</f>
        <v/>
      </c>
      <c r="V50" s="431" t="str">
        <f>IF(Calculation!P27&gt;0,VLOOKUP(M50,Calculation!E$3:H$50,2,FALSE),"")</f>
        <v/>
      </c>
      <c r="W50" s="330"/>
      <c r="X50" s="634">
        <f>Calculation!R27</f>
        <v>0</v>
      </c>
      <c r="Y50" s="634"/>
      <c r="Z50" s="634"/>
      <c r="AA50" s="634"/>
      <c r="AB50" s="634"/>
      <c r="AC50" s="634"/>
      <c r="AD50" s="634"/>
      <c r="AE50" s="634"/>
      <c r="AF50" s="419"/>
      <c r="AG50" s="148"/>
      <c r="AI50" s="148"/>
      <c r="AJ50" s="595" t="s">
        <v>778</v>
      </c>
      <c r="AK50" s="597"/>
      <c r="AL50" s="592" t="e">
        <f>INDEX(Calculation!$AL$3:$AL$13,MATCH(MROUND(AVERAGE(Calculation!F3:F40),0.5),Calculation!$AM$3:$AM$13,0))</f>
        <v>#DIV/0!</v>
      </c>
      <c r="AM50" s="593"/>
      <c r="AN50" s="594"/>
      <c r="AO50" s="422"/>
      <c r="AP50" s="595" t="s">
        <v>778</v>
      </c>
      <c r="AQ50" s="597"/>
      <c r="AR50" s="592" t="str">
        <f>IF(ISNUMBER(AM29),INDEX(Calculation!$AL$3:$AL$13,MATCH(MROUND(AVERAGE('Diagram Data'!C25:C75),0.5),Calculation!$AM$3:$AM$13,0)),"")</f>
        <v/>
      </c>
      <c r="AS50" s="593"/>
      <c r="AT50" s="594"/>
      <c r="AU50" s="422"/>
      <c r="AV50" s="595" t="s">
        <v>778</v>
      </c>
      <c r="AW50" s="597"/>
      <c r="AX50" s="592" t="str">
        <f>IF(ISNUMBER(AN29),INDEX(Calculation!$AL$3:$AL$13,MATCH(MROUND(AVERAGE('Diagram Data'!D25:D75),0.5),Calculation!$AM$3:$AM$13,0)),"")</f>
        <v/>
      </c>
      <c r="AY50" s="593"/>
      <c r="AZ50" s="594"/>
      <c r="BA50" s="148"/>
    </row>
    <row r="51" spans="1:53" ht="30.75" customHeight="1" thickTop="1" thickBot="1" x14ac:dyDescent="0.3">
      <c r="A51" s="148"/>
      <c r="B51" s="217"/>
      <c r="C51" s="9"/>
      <c r="D51" s="632" t="str">
        <f>IF(Calculation!N28&gt;0,Calculation!N28,"")</f>
        <v/>
      </c>
      <c r="E51" s="633"/>
      <c r="F51" s="633"/>
      <c r="G51" s="633"/>
      <c r="H51" s="633"/>
      <c r="I51" s="633"/>
      <c r="J51" s="633"/>
      <c r="K51" s="432" t="str">
        <f>IF(Calculation!N28&gt;0,VLOOKUP(D51,Calculation!E$3:H$50,4,FALSE),"")</f>
        <v/>
      </c>
      <c r="L51" s="430" t="str">
        <f>IF(Calculation!N28&gt;0,VLOOKUP(D51,Calculation!E$3:H$50,2,FALSE),"")</f>
        <v/>
      </c>
      <c r="M51" s="630" t="str">
        <f>IF(Calculation!P28&gt;0,Calculation!P28,"")</f>
        <v/>
      </c>
      <c r="N51" s="630"/>
      <c r="O51" s="630"/>
      <c r="P51" s="630"/>
      <c r="Q51" s="630"/>
      <c r="R51" s="630"/>
      <c r="S51" s="630"/>
      <c r="T51" s="630"/>
      <c r="U51" s="432" t="str">
        <f>IF(Calculation!P28&gt;0,VLOOKUP(M51,Calculation!E$3:H$50,4,FALSE),"")</f>
        <v/>
      </c>
      <c r="V51" s="431" t="str">
        <f>IF(Calculation!P28&gt;0,VLOOKUP(M51,Calculation!E$3:H$50,2,FALSE),"")</f>
        <v/>
      </c>
      <c r="W51" s="330"/>
      <c r="X51" s="634">
        <f>Calculation!R28</f>
        <v>0</v>
      </c>
      <c r="Y51" s="634"/>
      <c r="Z51" s="634"/>
      <c r="AA51" s="634"/>
      <c r="AB51" s="634"/>
      <c r="AC51" s="634"/>
      <c r="AD51" s="634"/>
      <c r="AE51" s="634"/>
      <c r="AF51" s="419"/>
      <c r="AG51" s="148"/>
      <c r="AI51" s="148"/>
      <c r="AJ51" s="610" t="s">
        <v>103</v>
      </c>
      <c r="AK51" s="611"/>
      <c r="AL51" s="611"/>
      <c r="AM51" s="611"/>
      <c r="AN51" s="612"/>
      <c r="AO51" s="422"/>
      <c r="AP51" s="610" t="s">
        <v>103</v>
      </c>
      <c r="AQ51" s="611"/>
      <c r="AR51" s="611"/>
      <c r="AS51" s="611"/>
      <c r="AT51" s="612"/>
      <c r="AU51" s="422"/>
      <c r="AV51" s="610" t="s">
        <v>103</v>
      </c>
      <c r="AW51" s="611"/>
      <c r="AX51" s="611"/>
      <c r="AY51" s="611"/>
      <c r="AZ51" s="612"/>
      <c r="BA51" s="148"/>
    </row>
    <row r="52" spans="1:53" ht="30.75" customHeight="1" thickTop="1" thickBot="1" x14ac:dyDescent="0.3">
      <c r="A52" s="148"/>
      <c r="B52" s="217"/>
      <c r="C52" s="9"/>
      <c r="D52" s="633" t="str">
        <f>IF(Calculation!N29&gt;0,Calculation!N29,"")</f>
        <v/>
      </c>
      <c r="E52" s="633"/>
      <c r="F52" s="633"/>
      <c r="G52" s="633"/>
      <c r="H52" s="633"/>
      <c r="I52" s="633"/>
      <c r="J52" s="633"/>
      <c r="K52" s="432" t="str">
        <f>IF(Calculation!N29&gt;0,VLOOKUP(D52,Calculation!E$3:H$50,4,FALSE),"")</f>
        <v/>
      </c>
      <c r="L52" s="430" t="str">
        <f>IF(Calculation!N29&gt;0,VLOOKUP(D52,Calculation!E$3:H$50,2,FALSE),"")</f>
        <v/>
      </c>
      <c r="M52" s="630" t="str">
        <f>IF(Calculation!P29&gt;0,Calculation!P29,"")</f>
        <v/>
      </c>
      <c r="N52" s="630"/>
      <c r="O52" s="630"/>
      <c r="P52" s="630"/>
      <c r="Q52" s="630"/>
      <c r="R52" s="630"/>
      <c r="S52" s="630"/>
      <c r="T52" s="630"/>
      <c r="U52" s="432" t="str">
        <f>IF(Calculation!P29&gt;0,VLOOKUP(M52,Calculation!E$3:H$50,4,FALSE),"")</f>
        <v/>
      </c>
      <c r="V52" s="431" t="str">
        <f>IF(Calculation!P29&gt;0,VLOOKUP(M52,Calculation!E$3:H$50,2,FALSE),"")</f>
        <v/>
      </c>
      <c r="W52" s="330"/>
      <c r="X52" s="634">
        <f>Calculation!R29</f>
        <v>0</v>
      </c>
      <c r="Y52" s="634"/>
      <c r="Z52" s="634"/>
      <c r="AA52" s="634"/>
      <c r="AB52" s="634"/>
      <c r="AC52" s="634"/>
      <c r="AD52" s="634"/>
      <c r="AE52" s="634"/>
      <c r="AF52" s="419"/>
      <c r="AG52" s="148"/>
      <c r="AI52" s="148"/>
      <c r="AJ52" s="613" t="s">
        <v>779</v>
      </c>
      <c r="AK52" s="613"/>
      <c r="AL52" s="613"/>
      <c r="AM52" s="613"/>
      <c r="AN52" s="423">
        <f>Calculation!N2</f>
        <v>0</v>
      </c>
      <c r="AO52" s="422"/>
      <c r="AP52" s="613" t="s">
        <v>779</v>
      </c>
      <c r="AQ52" s="613"/>
      <c r="AR52" s="613"/>
      <c r="AS52" s="613"/>
      <c r="AT52" s="423" t="str">
        <f>IF(ISNUMBER(AM29),COUNTIF('Diagram Data'!C25:C73,"&lt;2,1"),"")</f>
        <v/>
      </c>
      <c r="AU52" s="422"/>
      <c r="AV52" s="613" t="s">
        <v>779</v>
      </c>
      <c r="AW52" s="613"/>
      <c r="AX52" s="613"/>
      <c r="AY52" s="613"/>
      <c r="AZ52" s="423" t="str">
        <f>IF(ISNUMBER(AN29),COUNTIF('Diagram Data'!D25:D73,"&lt;2,1"),"")</f>
        <v/>
      </c>
      <c r="BA52" s="148"/>
    </row>
    <row r="53" spans="1:53" ht="30.75" customHeight="1" thickTop="1" thickBot="1" x14ac:dyDescent="0.3">
      <c r="A53" s="148"/>
      <c r="B53" s="217"/>
      <c r="C53" s="9"/>
      <c r="D53" s="633" t="str">
        <f>IF(Calculation!N30&gt;0,Calculation!N30,"")</f>
        <v/>
      </c>
      <c r="E53" s="633"/>
      <c r="F53" s="633"/>
      <c r="G53" s="633"/>
      <c r="H53" s="633"/>
      <c r="I53" s="633"/>
      <c r="J53" s="633"/>
      <c r="K53" s="432" t="str">
        <f>IF(Calculation!N30&gt;0,VLOOKUP(D53,Calculation!E$3:H$50,4,FALSE),"")</f>
        <v/>
      </c>
      <c r="L53" s="430" t="str">
        <f>IF(Calculation!N30&gt;0,VLOOKUP(D53,Calculation!E$3:H$50,2,FALSE),"")</f>
        <v/>
      </c>
      <c r="M53" s="630" t="str">
        <f>IF(Calculation!P30&gt;0,Calculation!P30,"")</f>
        <v/>
      </c>
      <c r="N53" s="630"/>
      <c r="O53" s="630"/>
      <c r="P53" s="630"/>
      <c r="Q53" s="630"/>
      <c r="R53" s="630"/>
      <c r="S53" s="630"/>
      <c r="T53" s="630"/>
      <c r="U53" s="432" t="str">
        <f>IF(Calculation!P30&gt;0,VLOOKUP(M53,Calculation!E$3:H$50,4,FALSE),"")</f>
        <v/>
      </c>
      <c r="V53" s="431" t="str">
        <f>IF(Calculation!P30&gt;0,VLOOKUP(M53,Calculation!E$3:H$50,2,FALSE),"")</f>
        <v/>
      </c>
      <c r="W53" s="330"/>
      <c r="X53" s="634">
        <f>Calculation!R30</f>
        <v>0</v>
      </c>
      <c r="Y53" s="634"/>
      <c r="Z53" s="634"/>
      <c r="AA53" s="634"/>
      <c r="AB53" s="634"/>
      <c r="AC53" s="634"/>
      <c r="AD53" s="634"/>
      <c r="AE53" s="634"/>
      <c r="AF53" s="419"/>
      <c r="AG53" s="148"/>
      <c r="AI53" s="148"/>
      <c r="AJ53" s="613" t="s">
        <v>780</v>
      </c>
      <c r="AK53" s="613"/>
      <c r="AL53" s="613"/>
      <c r="AM53" s="613"/>
      <c r="AN53" s="423">
        <f>Calculation!P2</f>
        <v>0</v>
      </c>
      <c r="AO53" s="422"/>
      <c r="AP53" s="613" t="s">
        <v>780</v>
      </c>
      <c r="AQ53" s="613"/>
      <c r="AR53" s="613"/>
      <c r="AS53" s="613"/>
      <c r="AT53" s="423" t="str">
        <f>IF(ISNUMBER(AM29),SUM('Diagram Data'!G25:G75),"")</f>
        <v/>
      </c>
      <c r="AU53" s="422"/>
      <c r="AV53" s="613" t="s">
        <v>780</v>
      </c>
      <c r="AW53" s="613"/>
      <c r="AX53" s="613"/>
      <c r="AY53" s="613"/>
      <c r="AZ53" s="423" t="str">
        <f>IF(ISNUMBER(AN29),SUM('Diagram Data'!H25:H75),"")</f>
        <v/>
      </c>
      <c r="BA53" s="148"/>
    </row>
    <row r="54" spans="1:53" ht="30.75" customHeight="1" thickTop="1" thickBot="1" x14ac:dyDescent="0.3">
      <c r="A54" s="148"/>
      <c r="B54" s="217"/>
      <c r="C54" s="9"/>
      <c r="D54" s="633" t="str">
        <f>IF(Calculation!N31&gt;0,Calculation!N31,"")</f>
        <v/>
      </c>
      <c r="E54" s="633"/>
      <c r="F54" s="633"/>
      <c r="G54" s="633"/>
      <c r="H54" s="633"/>
      <c r="I54" s="633"/>
      <c r="J54" s="633"/>
      <c r="K54" s="432" t="str">
        <f>IF(Calculation!N31&gt;0,VLOOKUP(D54,Calculation!E$3:H$50,4,FALSE),"")</f>
        <v/>
      </c>
      <c r="L54" s="430" t="str">
        <f>IF(Calculation!N31&gt;0,VLOOKUP(D54,Calculation!E$3:H$50,2,FALSE),"")</f>
        <v/>
      </c>
      <c r="M54" s="630" t="str">
        <f>IF(Calculation!P31&gt;0,Calculation!P31,"")</f>
        <v/>
      </c>
      <c r="N54" s="630"/>
      <c r="O54" s="630"/>
      <c r="P54" s="630"/>
      <c r="Q54" s="630"/>
      <c r="R54" s="630"/>
      <c r="S54" s="630"/>
      <c r="T54" s="630"/>
      <c r="U54" s="432" t="str">
        <f>IF(Calculation!P31&gt;0,VLOOKUP(M54,Calculation!E$3:H$50,4,FALSE),"")</f>
        <v/>
      </c>
      <c r="V54" s="431" t="str">
        <f>IF(Calculation!P31&gt;0,VLOOKUP(M54,Calculation!E$3:H$50,2,FALSE),"")</f>
        <v/>
      </c>
      <c r="W54" s="330"/>
      <c r="X54" s="634">
        <f>Calculation!R31</f>
        <v>0</v>
      </c>
      <c r="Y54" s="634"/>
      <c r="Z54" s="634"/>
      <c r="AA54" s="634"/>
      <c r="AB54" s="634"/>
      <c r="AC54" s="634"/>
      <c r="AD54" s="634"/>
      <c r="AE54" s="634"/>
      <c r="AF54" s="419"/>
      <c r="AG54" s="148"/>
      <c r="AI54" s="148"/>
      <c r="AJ54" s="613" t="s">
        <v>781</v>
      </c>
      <c r="AK54" s="613"/>
      <c r="AL54" s="613"/>
      <c r="AM54" s="613"/>
      <c r="AN54" s="423">
        <f>Calculation!R2</f>
        <v>0</v>
      </c>
      <c r="AO54" s="422"/>
      <c r="AP54" s="613" t="s">
        <v>781</v>
      </c>
      <c r="AQ54" s="613"/>
      <c r="AR54" s="613"/>
      <c r="AS54" s="613"/>
      <c r="AT54" s="423" t="str">
        <f>IF(ISNUMBER(AM29),COUNTIF('Diagram Data'!E25:E75,Calculation!$AJ$10),"")</f>
        <v/>
      </c>
      <c r="AU54" s="422"/>
      <c r="AV54" s="613" t="s">
        <v>781</v>
      </c>
      <c r="AW54" s="613"/>
      <c r="AX54" s="613"/>
      <c r="AY54" s="613"/>
      <c r="AZ54" s="423" t="str">
        <f>IF(ISNUMBER(AN29),COUNTIF('Diagram Data'!F25:F75,Calculation!$AJ$10),"")</f>
        <v/>
      </c>
      <c r="BA54" s="148"/>
    </row>
    <row r="55" spans="1:53" ht="30.75" customHeight="1" thickTop="1" thickBot="1" x14ac:dyDescent="0.3">
      <c r="A55" s="182"/>
      <c r="B55" s="148"/>
      <c r="C55" s="9"/>
      <c r="D55" s="633" t="str">
        <f>IF(Calculation!N32&gt;0,Calculation!N32,"")</f>
        <v/>
      </c>
      <c r="E55" s="633"/>
      <c r="F55" s="633"/>
      <c r="G55" s="633"/>
      <c r="H55" s="633"/>
      <c r="I55" s="633"/>
      <c r="J55" s="633"/>
      <c r="K55" s="432" t="str">
        <f>IF(Calculation!N32&gt;0,VLOOKUP(D55,Calculation!E$3:H$50,4,FALSE),"")</f>
        <v/>
      </c>
      <c r="L55" s="430" t="str">
        <f>IF(Calculation!N32&gt;0,VLOOKUP(D55,Calculation!E$3:H$50,2,FALSE),"")</f>
        <v/>
      </c>
      <c r="M55" s="630" t="str">
        <f>IF(Calculation!P32&gt;0,Calculation!P32,"")</f>
        <v/>
      </c>
      <c r="N55" s="630"/>
      <c r="O55" s="630"/>
      <c r="P55" s="630"/>
      <c r="Q55" s="630"/>
      <c r="R55" s="630"/>
      <c r="S55" s="630"/>
      <c r="T55" s="630"/>
      <c r="U55" s="432" t="str">
        <f>IF(Calculation!P32&gt;0,VLOOKUP(M55,Calculation!E$3:H$50,4,FALSE),"")</f>
        <v/>
      </c>
      <c r="V55" s="431" t="str">
        <f>IF(Calculation!P32&gt;0,VLOOKUP(M55,Calculation!E$3:H$50,2,FALSE),"")</f>
        <v/>
      </c>
      <c r="W55" s="9"/>
      <c r="X55" s="634">
        <f>Calculation!R32</f>
        <v>0</v>
      </c>
      <c r="Y55" s="634"/>
      <c r="Z55" s="634"/>
      <c r="AA55" s="634"/>
      <c r="AB55" s="634"/>
      <c r="AC55" s="634"/>
      <c r="AD55" s="634"/>
      <c r="AE55" s="634"/>
      <c r="AF55" s="419"/>
      <c r="AG55" s="182"/>
      <c r="AI55" s="148"/>
      <c r="AJ55" s="148"/>
      <c r="AK55" s="148"/>
      <c r="AL55" s="148"/>
      <c r="AM55" s="148"/>
      <c r="AN55" s="148"/>
      <c r="AO55" s="148"/>
      <c r="AP55" s="148"/>
      <c r="AQ55" s="148"/>
      <c r="AR55" s="148"/>
      <c r="AS55" s="148"/>
      <c r="AT55" s="148"/>
      <c r="AU55" s="148"/>
      <c r="AV55" s="148"/>
      <c r="AW55" s="148"/>
      <c r="AX55" s="148"/>
      <c r="AY55" s="148"/>
      <c r="AZ55" s="148"/>
      <c r="BA55" s="148"/>
    </row>
    <row r="56" spans="1:53" ht="30.75" customHeight="1" thickTop="1" x14ac:dyDescent="0.5">
      <c r="A56" s="148"/>
      <c r="B56" s="148"/>
      <c r="C56" s="9"/>
      <c r="D56" s="633" t="str">
        <f>IF(Calculation!N33&gt;0,Calculation!N33,"")</f>
        <v/>
      </c>
      <c r="E56" s="633"/>
      <c r="F56" s="633"/>
      <c r="G56" s="633"/>
      <c r="H56" s="633"/>
      <c r="I56" s="633"/>
      <c r="J56" s="633"/>
      <c r="K56" s="432" t="str">
        <f>IF(Calculation!N33&gt;0,VLOOKUP(D56,Calculation!E$3:H$50,4,FALSE),"")</f>
        <v/>
      </c>
      <c r="L56" s="430" t="str">
        <f>IF(Calculation!N33&gt;0,VLOOKUP(D56,Calculation!E$3:H$50,2,FALSE),"")</f>
        <v/>
      </c>
      <c r="M56" s="630" t="str">
        <f>IF(Calculation!P33&gt;0,Calculation!P33,"")</f>
        <v/>
      </c>
      <c r="N56" s="630"/>
      <c r="O56" s="630"/>
      <c r="P56" s="630"/>
      <c r="Q56" s="630"/>
      <c r="R56" s="630"/>
      <c r="S56" s="630"/>
      <c r="T56" s="630"/>
      <c r="U56" s="432" t="str">
        <f>IF(Calculation!P33&gt;0,VLOOKUP(M56,Calculation!E$3:H$50,4,FALSE),"")</f>
        <v/>
      </c>
      <c r="V56" s="431" t="str">
        <f>IF(Calculation!P33&gt;0,VLOOKUP(M56,Calculation!E$3:H$50,2,FALSE),"")</f>
        <v/>
      </c>
      <c r="W56" s="9"/>
      <c r="X56" s="634">
        <f>Calculation!R33</f>
        <v>0</v>
      </c>
      <c r="Y56" s="634"/>
      <c r="Z56" s="634"/>
      <c r="AA56" s="634"/>
      <c r="AB56" s="634"/>
      <c r="AC56" s="634"/>
      <c r="AD56" s="634"/>
      <c r="AE56" s="634"/>
      <c r="AF56" s="419"/>
      <c r="AG56" s="148"/>
      <c r="AI56" s="148"/>
      <c r="AJ56" s="601" t="str">
        <f>_xlfn.CONCAT(AL29," market description")</f>
        <v>2024 market description</v>
      </c>
      <c r="AK56" s="602"/>
      <c r="AL56" s="602"/>
      <c r="AM56" s="602"/>
      <c r="AN56" s="603"/>
      <c r="AO56" s="148"/>
      <c r="AP56" s="604" t="str">
        <f>IF(AM29&gt;0,_xlfn.CONCAT(AM29," market description"),"")</f>
        <v xml:space="preserve"> market description</v>
      </c>
      <c r="AQ56" s="605"/>
      <c r="AR56" s="605"/>
      <c r="AS56" s="605"/>
      <c r="AT56" s="606"/>
      <c r="AU56" s="148"/>
      <c r="AV56" s="607" t="str">
        <f>IF(AN29&gt;0,_xlfn.CONCAT(AN29," market description"),"")</f>
        <v xml:space="preserve"> market description</v>
      </c>
      <c r="AW56" s="608"/>
      <c r="AX56" s="608"/>
      <c r="AY56" s="608"/>
      <c r="AZ56" s="609"/>
      <c r="BA56" s="148"/>
    </row>
    <row r="57" spans="1:53" ht="30.75" customHeight="1" x14ac:dyDescent="0.5">
      <c r="A57" s="148"/>
      <c r="B57" s="148"/>
      <c r="C57" s="9"/>
      <c r="D57" s="633" t="str">
        <f>IF(Calculation!N34&gt;0,Calculation!N34,"")</f>
        <v/>
      </c>
      <c r="E57" s="633"/>
      <c r="F57" s="633"/>
      <c r="G57" s="633"/>
      <c r="H57" s="633"/>
      <c r="I57" s="633"/>
      <c r="J57" s="633"/>
      <c r="K57" s="432" t="str">
        <f>IF(Calculation!N34&gt;0,VLOOKUP(D57,Calculation!E$3:H$50,4,FALSE),"")</f>
        <v/>
      </c>
      <c r="L57" s="430" t="str">
        <f>IF(Calculation!N34&gt;0,VLOOKUP(D57,Calculation!E$3:H$50,2,FALSE),"")</f>
        <v/>
      </c>
      <c r="M57" s="630" t="str">
        <f>IF(Calculation!P34&gt;0,Calculation!P34,"")</f>
        <v/>
      </c>
      <c r="N57" s="630"/>
      <c r="O57" s="630"/>
      <c r="P57" s="630"/>
      <c r="Q57" s="630"/>
      <c r="R57" s="630"/>
      <c r="S57" s="630"/>
      <c r="T57" s="630"/>
      <c r="U57" s="432" t="str">
        <f>IF(Calculation!P34&gt;0,VLOOKUP(M57,Calculation!E$3:H$50,4,FALSE),"")</f>
        <v/>
      </c>
      <c r="V57" s="431" t="str">
        <f>IF(Calculation!P34&gt;0,VLOOKUP(M57,Calculation!E$3:H$50,2,FALSE),"")</f>
        <v/>
      </c>
      <c r="W57" s="9"/>
      <c r="X57" s="634">
        <f>Calculation!R34</f>
        <v>0</v>
      </c>
      <c r="Y57" s="634"/>
      <c r="Z57" s="634"/>
      <c r="AA57" s="634"/>
      <c r="AB57" s="634"/>
      <c r="AC57" s="634"/>
      <c r="AD57" s="634"/>
      <c r="AE57" s="634"/>
      <c r="AF57" s="419"/>
      <c r="AG57" s="148"/>
      <c r="AI57" s="148"/>
      <c r="AJ57" s="408"/>
      <c r="AK57" s="409"/>
      <c r="AL57" s="409"/>
      <c r="AM57" s="409"/>
      <c r="AN57" s="410"/>
      <c r="AO57" s="148"/>
      <c r="AP57" s="405"/>
      <c r="AQ57" s="406"/>
      <c r="AR57" s="406"/>
      <c r="AS57" s="406"/>
      <c r="AT57" s="407"/>
      <c r="AU57" s="148"/>
      <c r="AV57" s="405"/>
      <c r="AW57" s="406"/>
      <c r="AX57" s="406"/>
      <c r="AY57" s="406"/>
      <c r="AZ57" s="407"/>
      <c r="BA57" s="148"/>
    </row>
    <row r="58" spans="1:53" ht="30.75" customHeight="1" x14ac:dyDescent="0.25">
      <c r="A58" s="148"/>
      <c r="B58" s="148"/>
      <c r="C58" s="9"/>
      <c r="D58" s="633" t="str">
        <f>IF(Calculation!N35&gt;0,Calculation!N35,"")</f>
        <v/>
      </c>
      <c r="E58" s="633"/>
      <c r="F58" s="633"/>
      <c r="G58" s="633"/>
      <c r="H58" s="633"/>
      <c r="I58" s="633"/>
      <c r="J58" s="633"/>
      <c r="K58" s="432" t="str">
        <f>IF(Calculation!N35&gt;0,VLOOKUP(D58,Calculation!E$3:H$50,4,FALSE),"")</f>
        <v/>
      </c>
      <c r="L58" s="430" t="str">
        <f>IF(Calculation!N35&gt;0,VLOOKUP(D58,Calculation!E$3:H$50,2,FALSE),"")</f>
        <v/>
      </c>
      <c r="M58" s="630" t="str">
        <f>IF(Calculation!P35&gt;0,Calculation!P35,"")</f>
        <v/>
      </c>
      <c r="N58" s="630"/>
      <c r="O58" s="630"/>
      <c r="P58" s="630"/>
      <c r="Q58" s="630"/>
      <c r="R58" s="630"/>
      <c r="S58" s="630"/>
      <c r="T58" s="630"/>
      <c r="U58" s="432" t="str">
        <f>IF(Calculation!P35&gt;0,VLOOKUP(M58,Calculation!E$3:H$50,4,FALSE),"")</f>
        <v/>
      </c>
      <c r="V58" s="431" t="str">
        <f>IF(Calculation!P35&gt;0,VLOOKUP(M58,Calculation!E$3:H$50,2,FALSE),"")</f>
        <v/>
      </c>
      <c r="W58" s="9"/>
      <c r="X58" s="634">
        <f>Calculation!R35</f>
        <v>0</v>
      </c>
      <c r="Y58" s="634"/>
      <c r="Z58" s="634"/>
      <c r="AA58" s="634"/>
      <c r="AB58" s="634"/>
      <c r="AC58" s="634"/>
      <c r="AD58" s="634"/>
      <c r="AE58" s="634"/>
      <c r="AF58" s="419"/>
      <c r="AG58" s="148"/>
      <c r="AI58" s="148"/>
      <c r="AJ58" s="635" t="str">
        <f>IF('EAMD Scorecard'!F4&gt;0,'EAMD Scorecard'!F4,"")</f>
        <v xml:space="preserve">Demand side: 
Supply Side: 
Enabling environment: </v>
      </c>
      <c r="AK58" s="636"/>
      <c r="AL58" s="636"/>
      <c r="AM58" s="636"/>
      <c r="AN58" s="637"/>
      <c r="AO58" s="148"/>
      <c r="AP58" s="635" t="str">
        <f>IF('EAMD Scorecard'!N4&gt;0,'EAMD Scorecard'!N4,"")</f>
        <v/>
      </c>
      <c r="AQ58" s="636"/>
      <c r="AR58" s="636"/>
      <c r="AS58" s="636"/>
      <c r="AT58" s="637"/>
      <c r="AU58" s="148"/>
      <c r="AV58" s="635" t="str">
        <f>IF('EAMD Scorecard'!V4&gt;0,'EAMD Scorecard'!V4,"")</f>
        <v/>
      </c>
      <c r="AW58" s="636"/>
      <c r="AX58" s="636"/>
      <c r="AY58" s="636"/>
      <c r="AZ58" s="637"/>
      <c r="BA58" s="148"/>
    </row>
    <row r="59" spans="1:53" ht="30.75" customHeight="1" x14ac:dyDescent="0.25">
      <c r="A59" s="148"/>
      <c r="B59" s="148"/>
      <c r="C59" s="9"/>
      <c r="D59" s="633" t="str">
        <f>IF(Calculation!N36&gt;0,Calculation!N36,"")</f>
        <v/>
      </c>
      <c r="E59" s="633"/>
      <c r="F59" s="633"/>
      <c r="G59" s="633"/>
      <c r="H59" s="633"/>
      <c r="I59" s="633"/>
      <c r="J59" s="633"/>
      <c r="K59" s="432" t="str">
        <f>IF(Calculation!N36&gt;0,VLOOKUP(D59,Calculation!E$3:H$50,4,FALSE),"")</f>
        <v/>
      </c>
      <c r="L59" s="430" t="str">
        <f>IF(Calculation!N36&gt;0,VLOOKUP(D59,Calculation!E$3:H$50,2,FALSE),"")</f>
        <v/>
      </c>
      <c r="M59" s="630" t="str">
        <f>IF(Calculation!P36&gt;0,Calculation!P36,"")</f>
        <v/>
      </c>
      <c r="N59" s="630"/>
      <c r="O59" s="630"/>
      <c r="P59" s="630"/>
      <c r="Q59" s="630"/>
      <c r="R59" s="630"/>
      <c r="S59" s="630"/>
      <c r="T59" s="630"/>
      <c r="U59" s="432" t="str">
        <f>IF(Calculation!P36&gt;0,VLOOKUP(M59,Calculation!E$3:H$50,4,FALSE),"")</f>
        <v/>
      </c>
      <c r="V59" s="431" t="str">
        <f>IF(Calculation!P36&gt;0,VLOOKUP(M59,Calculation!E$3:H$50,2,FALSE),"")</f>
        <v/>
      </c>
      <c r="W59" s="9"/>
      <c r="X59" s="634">
        <f>Calculation!R36</f>
        <v>0</v>
      </c>
      <c r="Y59" s="634"/>
      <c r="Z59" s="634"/>
      <c r="AA59" s="634"/>
      <c r="AB59" s="634"/>
      <c r="AC59" s="634"/>
      <c r="AD59" s="634"/>
      <c r="AE59" s="634"/>
      <c r="AF59" s="419"/>
      <c r="AG59" s="148"/>
      <c r="AI59" s="148"/>
      <c r="AJ59" s="635"/>
      <c r="AK59" s="636"/>
      <c r="AL59" s="636"/>
      <c r="AM59" s="636"/>
      <c r="AN59" s="637"/>
      <c r="AO59" s="148"/>
      <c r="AP59" s="635"/>
      <c r="AQ59" s="636"/>
      <c r="AR59" s="636"/>
      <c r="AS59" s="636"/>
      <c r="AT59" s="637"/>
      <c r="AU59" s="148"/>
      <c r="AV59" s="635"/>
      <c r="AW59" s="636"/>
      <c r="AX59" s="636"/>
      <c r="AY59" s="636"/>
      <c r="AZ59" s="637"/>
      <c r="BA59" s="148"/>
    </row>
    <row r="60" spans="1:53" ht="30.75" customHeight="1" x14ac:dyDescent="0.25">
      <c r="A60" s="148"/>
      <c r="B60" s="148"/>
      <c r="C60" s="9"/>
      <c r="D60" s="633" t="str">
        <f>IF(Calculation!N37&gt;0,Calculation!N37,"")</f>
        <v/>
      </c>
      <c r="E60" s="633"/>
      <c r="F60" s="633"/>
      <c r="G60" s="633"/>
      <c r="H60" s="633"/>
      <c r="I60" s="633"/>
      <c r="J60" s="633"/>
      <c r="K60" s="432" t="str">
        <f>IF(Calculation!N37&gt;0,VLOOKUP(D60,Calculation!E$3:H$50,4,FALSE),"")</f>
        <v/>
      </c>
      <c r="L60" s="430" t="str">
        <f>IF(Calculation!N37&gt;0,VLOOKUP(D60,Calculation!E$3:H$50,2,FALSE),"")</f>
        <v/>
      </c>
      <c r="M60" s="630" t="str">
        <f>IF(Calculation!P37&gt;0,Calculation!P37,"")</f>
        <v/>
      </c>
      <c r="N60" s="630"/>
      <c r="O60" s="630"/>
      <c r="P60" s="630"/>
      <c r="Q60" s="630"/>
      <c r="R60" s="630"/>
      <c r="S60" s="630"/>
      <c r="T60" s="630"/>
      <c r="U60" s="432" t="str">
        <f>IF(Calculation!P37&gt;0,VLOOKUP(M60,Calculation!E$3:H$50,4,FALSE),"")</f>
        <v/>
      </c>
      <c r="V60" s="431" t="str">
        <f>IF(Calculation!P37&gt;0,VLOOKUP(M60,Calculation!E$3:H$50,2,FALSE),"")</f>
        <v/>
      </c>
      <c r="W60" s="9"/>
      <c r="X60" s="634">
        <f>Calculation!R37</f>
        <v>0</v>
      </c>
      <c r="Y60" s="634"/>
      <c r="Z60" s="634"/>
      <c r="AA60" s="634"/>
      <c r="AB60" s="634"/>
      <c r="AC60" s="634"/>
      <c r="AD60" s="634"/>
      <c r="AE60" s="634"/>
      <c r="AF60" s="419"/>
      <c r="AG60" s="148"/>
      <c r="AI60" s="148"/>
      <c r="AJ60" s="635"/>
      <c r="AK60" s="636"/>
      <c r="AL60" s="636"/>
      <c r="AM60" s="636"/>
      <c r="AN60" s="637"/>
      <c r="AO60" s="148"/>
      <c r="AP60" s="635"/>
      <c r="AQ60" s="636"/>
      <c r="AR60" s="636"/>
      <c r="AS60" s="636"/>
      <c r="AT60" s="637"/>
      <c r="AU60" s="148"/>
      <c r="AV60" s="635"/>
      <c r="AW60" s="636"/>
      <c r="AX60" s="636"/>
      <c r="AY60" s="636"/>
      <c r="AZ60" s="637"/>
      <c r="BA60" s="148"/>
    </row>
    <row r="61" spans="1:53" ht="30.75" customHeight="1" x14ac:dyDescent="0.25">
      <c r="A61" s="148"/>
      <c r="B61" s="148"/>
      <c r="C61" s="9"/>
      <c r="D61" s="633" t="str">
        <f>IF(Calculation!N38&gt;0,Calculation!N38,"")</f>
        <v/>
      </c>
      <c r="E61" s="633"/>
      <c r="F61" s="633"/>
      <c r="G61" s="633"/>
      <c r="H61" s="633"/>
      <c r="I61" s="633"/>
      <c r="J61" s="633"/>
      <c r="K61" s="432" t="str">
        <f>IF(Calculation!N38&gt;0,VLOOKUP(D61,Calculation!E$3:H$50,4,FALSE),"")</f>
        <v/>
      </c>
      <c r="L61" s="430" t="str">
        <f>IF(Calculation!N38&gt;0,VLOOKUP(D61,Calculation!E$3:H$50,2,FALSE),"")</f>
        <v/>
      </c>
      <c r="M61" s="630" t="str">
        <f>IF(Calculation!P38&gt;0,Calculation!P38,"")</f>
        <v/>
      </c>
      <c r="N61" s="630"/>
      <c r="O61" s="630"/>
      <c r="P61" s="630"/>
      <c r="Q61" s="630"/>
      <c r="R61" s="630"/>
      <c r="S61" s="630"/>
      <c r="T61" s="630"/>
      <c r="U61" s="432" t="str">
        <f>IF(Calculation!P38&gt;0,VLOOKUP(M61,Calculation!E$3:H$50,4,FALSE),"")</f>
        <v/>
      </c>
      <c r="V61" s="431" t="str">
        <f>IF(Calculation!P38&gt;0,VLOOKUP(M61,Calculation!E$3:H$50,2,FALSE),"")</f>
        <v/>
      </c>
      <c r="W61" s="9"/>
      <c r="X61" s="634">
        <f>Calculation!R38</f>
        <v>0</v>
      </c>
      <c r="Y61" s="634"/>
      <c r="Z61" s="634"/>
      <c r="AA61" s="634"/>
      <c r="AB61" s="634"/>
      <c r="AC61" s="634"/>
      <c r="AD61" s="634"/>
      <c r="AE61" s="634"/>
      <c r="AF61" s="419"/>
      <c r="AG61" s="148"/>
      <c r="AI61" s="148"/>
      <c r="AJ61" s="635"/>
      <c r="AK61" s="636"/>
      <c r="AL61" s="636"/>
      <c r="AM61" s="636"/>
      <c r="AN61" s="637"/>
      <c r="AO61" s="148"/>
      <c r="AP61" s="635"/>
      <c r="AQ61" s="636"/>
      <c r="AR61" s="636"/>
      <c r="AS61" s="636"/>
      <c r="AT61" s="637"/>
      <c r="AU61" s="148"/>
      <c r="AV61" s="635"/>
      <c r="AW61" s="636"/>
      <c r="AX61" s="636"/>
      <c r="AY61" s="636"/>
      <c r="AZ61" s="637"/>
      <c r="BA61" s="148"/>
    </row>
    <row r="62" spans="1:53" ht="30.75" customHeight="1" x14ac:dyDescent="0.25">
      <c r="A62" s="148"/>
      <c r="B62" s="148"/>
      <c r="C62" s="9"/>
      <c r="D62" s="632" t="str">
        <f>IF(Calculation!N39&gt;0,Calculation!N39,"")</f>
        <v/>
      </c>
      <c r="E62" s="633"/>
      <c r="F62" s="633"/>
      <c r="G62" s="633"/>
      <c r="H62" s="633"/>
      <c r="I62" s="633"/>
      <c r="J62" s="633"/>
      <c r="K62" s="432" t="str">
        <f>IF(Calculation!N39&gt;0,VLOOKUP(D62,Calculation!E$3:H$50,4,FALSE),"")</f>
        <v/>
      </c>
      <c r="L62" s="430" t="str">
        <f>IF(Calculation!N39&gt;0,VLOOKUP(D62,Calculation!E$3:H$50,2,FALSE),"")</f>
        <v/>
      </c>
      <c r="M62" s="630" t="str">
        <f>IF(Calculation!P39&gt;0,Calculation!P39,"")</f>
        <v/>
      </c>
      <c r="N62" s="630"/>
      <c r="O62" s="630"/>
      <c r="P62" s="630"/>
      <c r="Q62" s="630"/>
      <c r="R62" s="630"/>
      <c r="S62" s="630"/>
      <c r="T62" s="630"/>
      <c r="U62" s="432" t="str">
        <f>IF(Calculation!P39&gt;0,VLOOKUP(M62,Calculation!E$3:H$50,4,FALSE),"")</f>
        <v/>
      </c>
      <c r="V62" s="431" t="str">
        <f>IF(Calculation!P39&gt;0,VLOOKUP(M62,Calculation!E$3:H$50,2,FALSE),"")</f>
        <v/>
      </c>
      <c r="W62" s="9"/>
      <c r="X62" s="634">
        <f>Calculation!R39</f>
        <v>0</v>
      </c>
      <c r="Y62" s="634"/>
      <c r="Z62" s="634"/>
      <c r="AA62" s="634"/>
      <c r="AB62" s="634"/>
      <c r="AC62" s="634"/>
      <c r="AD62" s="634"/>
      <c r="AE62" s="634"/>
      <c r="AF62" s="419"/>
      <c r="AG62" s="148"/>
      <c r="AI62" s="148"/>
      <c r="AJ62" s="635"/>
      <c r="AK62" s="636"/>
      <c r="AL62" s="636"/>
      <c r="AM62" s="636"/>
      <c r="AN62" s="637"/>
      <c r="AO62" s="148"/>
      <c r="AP62" s="635"/>
      <c r="AQ62" s="636"/>
      <c r="AR62" s="636"/>
      <c r="AS62" s="636"/>
      <c r="AT62" s="637"/>
      <c r="AU62" s="148"/>
      <c r="AV62" s="635"/>
      <c r="AW62" s="636"/>
      <c r="AX62" s="636"/>
      <c r="AY62" s="636"/>
      <c r="AZ62" s="637"/>
      <c r="BA62" s="148"/>
    </row>
    <row r="63" spans="1:53" ht="30.75" customHeight="1" x14ac:dyDescent="0.25">
      <c r="A63" s="148"/>
      <c r="B63" s="148"/>
      <c r="C63" s="9"/>
      <c r="D63" s="633" t="str">
        <f>IF(Calculation!N40&gt;0,Calculation!N40,"")</f>
        <v/>
      </c>
      <c r="E63" s="633"/>
      <c r="F63" s="633"/>
      <c r="G63" s="633"/>
      <c r="H63" s="633"/>
      <c r="I63" s="633"/>
      <c r="J63" s="633"/>
      <c r="K63" s="432" t="str">
        <f>IF(Calculation!N40&gt;0,VLOOKUP(D63,Calculation!E$3:H$50,4,FALSE),"")</f>
        <v/>
      </c>
      <c r="L63" s="430" t="str">
        <f>IF(Calculation!N40&gt;0,VLOOKUP(D63,Calculation!E$3:H$50,2,FALSE),"")</f>
        <v/>
      </c>
      <c r="M63" s="630" t="str">
        <f>IF(Calculation!P40&gt;0,Calculation!P40,"")</f>
        <v/>
      </c>
      <c r="N63" s="630"/>
      <c r="O63" s="630"/>
      <c r="P63" s="630"/>
      <c r="Q63" s="630"/>
      <c r="R63" s="630"/>
      <c r="S63" s="630"/>
      <c r="T63" s="630"/>
      <c r="U63" s="432" t="str">
        <f>IF(Calculation!P40&gt;0,VLOOKUP(M63,Calculation!E$3:H$50,4,FALSE),"")</f>
        <v/>
      </c>
      <c r="V63" s="431" t="str">
        <f>IF(Calculation!P40&gt;0,VLOOKUP(M63,Calculation!E$3:H$50,2,FALSE),"")</f>
        <v/>
      </c>
      <c r="W63" s="9"/>
      <c r="X63" s="634">
        <f>Calculation!R40</f>
        <v>0</v>
      </c>
      <c r="Y63" s="634"/>
      <c r="Z63" s="634"/>
      <c r="AA63" s="634"/>
      <c r="AB63" s="634"/>
      <c r="AC63" s="634"/>
      <c r="AD63" s="634"/>
      <c r="AE63" s="634"/>
      <c r="AF63" s="419"/>
      <c r="AG63" s="148"/>
      <c r="AI63" s="148"/>
      <c r="AJ63" s="635"/>
      <c r="AK63" s="636"/>
      <c r="AL63" s="636"/>
      <c r="AM63" s="636"/>
      <c r="AN63" s="637"/>
      <c r="AO63" s="148"/>
      <c r="AP63" s="635"/>
      <c r="AQ63" s="636"/>
      <c r="AR63" s="636"/>
      <c r="AS63" s="636"/>
      <c r="AT63" s="637"/>
      <c r="AU63" s="148"/>
      <c r="AV63" s="635"/>
      <c r="AW63" s="636"/>
      <c r="AX63" s="636"/>
      <c r="AY63" s="636"/>
      <c r="AZ63" s="637"/>
      <c r="BA63" s="148"/>
    </row>
    <row r="64" spans="1:53" ht="30.75" customHeight="1" thickBot="1" x14ac:dyDescent="0.45">
      <c r="A64" s="148"/>
      <c r="B64" s="148"/>
      <c r="C64" s="9"/>
      <c r="D64" s="9"/>
      <c r="E64" s="9"/>
      <c r="F64" s="9"/>
      <c r="G64" s="9"/>
      <c r="H64" s="9"/>
      <c r="I64" s="9"/>
      <c r="J64" s="9"/>
      <c r="K64" s="433"/>
      <c r="L64" s="9"/>
      <c r="M64" s="9"/>
      <c r="N64" s="9"/>
      <c r="O64" s="9"/>
      <c r="P64" s="9"/>
      <c r="Q64" s="9"/>
      <c r="R64" s="9"/>
      <c r="S64" s="9"/>
      <c r="T64" s="9"/>
      <c r="U64" s="9"/>
      <c r="V64" s="9"/>
      <c r="W64" s="9"/>
      <c r="X64" s="9"/>
      <c r="Y64" s="641">
        <f>Calculation!R41</f>
        <v>0</v>
      </c>
      <c r="Z64" s="641"/>
      <c r="AA64" s="641"/>
      <c r="AB64" s="641"/>
      <c r="AC64" s="641"/>
      <c r="AD64" s="641"/>
      <c r="AE64" s="641"/>
      <c r="AF64" s="419"/>
      <c r="AG64" s="148"/>
      <c r="AI64" s="148"/>
      <c r="AJ64" s="638"/>
      <c r="AK64" s="639"/>
      <c r="AL64" s="639"/>
      <c r="AM64" s="639"/>
      <c r="AN64" s="640"/>
      <c r="AO64" s="148"/>
      <c r="AP64" s="638"/>
      <c r="AQ64" s="639"/>
      <c r="AR64" s="639"/>
      <c r="AS64" s="639"/>
      <c r="AT64" s="640"/>
      <c r="AU64" s="148"/>
      <c r="AV64" s="638"/>
      <c r="AW64" s="639"/>
      <c r="AX64" s="639"/>
      <c r="AY64" s="639"/>
      <c r="AZ64" s="640"/>
      <c r="BA64" s="148"/>
    </row>
    <row r="65" spans="1:53" ht="30.75" customHeight="1" thickTop="1" x14ac:dyDescent="0.35">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I65" s="148"/>
      <c r="AJ65" s="148"/>
      <c r="AK65" s="148"/>
      <c r="AL65" s="148"/>
      <c r="AM65" s="148"/>
      <c r="AN65" s="202"/>
      <c r="AO65" s="202"/>
      <c r="AP65" s="202"/>
      <c r="AQ65" s="148"/>
      <c r="AR65" s="148"/>
      <c r="AS65" s="148"/>
      <c r="AT65" s="148"/>
      <c r="AU65" s="148"/>
      <c r="AV65" s="148"/>
      <c r="AW65" s="404"/>
      <c r="AX65" s="404"/>
      <c r="AY65" s="404"/>
      <c r="AZ65" s="404"/>
      <c r="BA65" s="148"/>
    </row>
    <row r="66" spans="1:53" x14ac:dyDescent="0.25">
      <c r="BA66"/>
    </row>
    <row r="67" spans="1:53" x14ac:dyDescent="0.25">
      <c r="BA67"/>
    </row>
    <row r="68" spans="1:53" x14ac:dyDescent="0.25">
      <c r="BA68"/>
    </row>
    <row r="69" spans="1:53" x14ac:dyDescent="0.25">
      <c r="BA69"/>
    </row>
    <row r="70" spans="1:53" x14ac:dyDescent="0.25">
      <c r="BA70"/>
    </row>
    <row r="71" spans="1:53" x14ac:dyDescent="0.25">
      <c r="BA71"/>
    </row>
    <row r="72" spans="1:53" x14ac:dyDescent="0.25">
      <c r="BA72"/>
    </row>
    <row r="73" spans="1:53" x14ac:dyDescent="0.25">
      <c r="BA73"/>
    </row>
    <row r="74" spans="1:53" x14ac:dyDescent="0.25">
      <c r="BA74"/>
    </row>
    <row r="75" spans="1:53" x14ac:dyDescent="0.25">
      <c r="BA75"/>
    </row>
    <row r="76" spans="1:53" x14ac:dyDescent="0.25">
      <c r="BA76"/>
    </row>
    <row r="77" spans="1:53" x14ac:dyDescent="0.25">
      <c r="BA77"/>
    </row>
    <row r="78" spans="1:53" x14ac:dyDescent="0.25">
      <c r="BA78"/>
    </row>
    <row r="79" spans="1:53" x14ac:dyDescent="0.25">
      <c r="BA79"/>
    </row>
    <row r="80" spans="1:53" x14ac:dyDescent="0.25">
      <c r="BA80"/>
    </row>
    <row r="81" spans="53:53" x14ac:dyDescent="0.25">
      <c r="BA81"/>
    </row>
    <row r="82" spans="53:53" x14ac:dyDescent="0.25">
      <c r="BA82"/>
    </row>
    <row r="83" spans="53:53" x14ac:dyDescent="0.25">
      <c r="BA83"/>
    </row>
    <row r="84" spans="53:53" x14ac:dyDescent="0.25">
      <c r="BA84"/>
    </row>
    <row r="85" spans="53:53" x14ac:dyDescent="0.25">
      <c r="BA85"/>
    </row>
    <row r="86" spans="53:53" x14ac:dyDescent="0.25">
      <c r="BA86"/>
    </row>
    <row r="87" spans="53:53" x14ac:dyDescent="0.25">
      <c r="BA87"/>
    </row>
    <row r="88" spans="53:53" x14ac:dyDescent="0.25">
      <c r="BA88"/>
    </row>
    <row r="89" spans="53:53" x14ac:dyDescent="0.25">
      <c r="BA89"/>
    </row>
    <row r="90" spans="53:53" x14ac:dyDescent="0.25">
      <c r="BA90"/>
    </row>
    <row r="91" spans="53:53" x14ac:dyDescent="0.25">
      <c r="BA91"/>
    </row>
    <row r="92" spans="53:53" x14ac:dyDescent="0.25">
      <c r="BA92"/>
    </row>
    <row r="93" spans="53:53" x14ac:dyDescent="0.25">
      <c r="BA93"/>
    </row>
    <row r="94" spans="53:53" x14ac:dyDescent="0.25">
      <c r="BA94"/>
    </row>
    <row r="95" spans="53:53" x14ac:dyDescent="0.25">
      <c r="BA95"/>
    </row>
    <row r="96" spans="53:53" x14ac:dyDescent="0.25">
      <c r="BA96"/>
    </row>
    <row r="97" spans="53:53" x14ac:dyDescent="0.25">
      <c r="BA97"/>
    </row>
    <row r="98" spans="53:53" x14ac:dyDescent="0.25">
      <c r="BA98"/>
    </row>
    <row r="99" spans="53:53" x14ac:dyDescent="0.25">
      <c r="BA99"/>
    </row>
    <row r="100" spans="53:53" x14ac:dyDescent="0.25">
      <c r="BA100"/>
    </row>
    <row r="101" spans="53:53" x14ac:dyDescent="0.25">
      <c r="BA101"/>
    </row>
    <row r="102" spans="53:53" x14ac:dyDescent="0.25">
      <c r="BA102"/>
    </row>
    <row r="103" spans="53:53" x14ac:dyDescent="0.25">
      <c r="BA103"/>
    </row>
    <row r="104" spans="53:53" x14ac:dyDescent="0.25">
      <c r="BA104"/>
    </row>
    <row r="105" spans="53:53" x14ac:dyDescent="0.25">
      <c r="BA105"/>
    </row>
    <row r="106" spans="53:53" x14ac:dyDescent="0.25">
      <c r="BA106"/>
    </row>
    <row r="107" spans="53:53" x14ac:dyDescent="0.25">
      <c r="BA107"/>
    </row>
    <row r="108" spans="53:53" x14ac:dyDescent="0.25">
      <c r="BA108"/>
    </row>
    <row r="109" spans="53:53" x14ac:dyDescent="0.25">
      <c r="BA109"/>
    </row>
    <row r="110" spans="53:53" x14ac:dyDescent="0.25">
      <c r="BA110"/>
    </row>
    <row r="111" spans="53:53" x14ac:dyDescent="0.25">
      <c r="BA111"/>
    </row>
    <row r="112" spans="53:53" x14ac:dyDescent="0.25">
      <c r="BA112"/>
    </row>
    <row r="113" spans="53:53" x14ac:dyDescent="0.25">
      <c r="BA113"/>
    </row>
    <row r="114" spans="53:53" x14ac:dyDescent="0.25">
      <c r="BA114"/>
    </row>
    <row r="115" spans="53:53" x14ac:dyDescent="0.25">
      <c r="BA115"/>
    </row>
    <row r="116" spans="53:53" x14ac:dyDescent="0.25">
      <c r="BA116"/>
    </row>
    <row r="117" spans="53:53" x14ac:dyDescent="0.25">
      <c r="BA117"/>
    </row>
    <row r="118" spans="53:53" x14ac:dyDescent="0.25">
      <c r="BA118"/>
    </row>
    <row r="119" spans="53:53" x14ac:dyDescent="0.25">
      <c r="BA119"/>
    </row>
    <row r="120" spans="53:53" x14ac:dyDescent="0.25">
      <c r="BA120"/>
    </row>
    <row r="121" spans="53:53" x14ac:dyDescent="0.25">
      <c r="BA121"/>
    </row>
    <row r="122" spans="53:53" x14ac:dyDescent="0.25">
      <c r="BA122"/>
    </row>
    <row r="123" spans="53:53" x14ac:dyDescent="0.25">
      <c r="BA123"/>
    </row>
    <row r="124" spans="53:53" x14ac:dyDescent="0.25">
      <c r="BA124"/>
    </row>
    <row r="125" spans="53:53" x14ac:dyDescent="0.25">
      <c r="BA125"/>
    </row>
    <row r="126" spans="53:53" x14ac:dyDescent="0.25">
      <c r="BA126"/>
    </row>
    <row r="127" spans="53:53" x14ac:dyDescent="0.25">
      <c r="BA127"/>
    </row>
    <row r="128" spans="53:53" x14ac:dyDescent="0.25">
      <c r="BA128"/>
    </row>
    <row r="129" spans="53:53" x14ac:dyDescent="0.25">
      <c r="BA129"/>
    </row>
    <row r="130" spans="53:53" x14ac:dyDescent="0.25">
      <c r="BA130"/>
    </row>
    <row r="131" spans="53:53" x14ac:dyDescent="0.25">
      <c r="BA131"/>
    </row>
    <row r="132" spans="53:53" x14ac:dyDescent="0.25">
      <c r="BA132"/>
    </row>
    <row r="133" spans="53:53" x14ac:dyDescent="0.25">
      <c r="BA133"/>
    </row>
    <row r="134" spans="53:53" x14ac:dyDescent="0.25">
      <c r="BA134"/>
    </row>
    <row r="135" spans="53:53" x14ac:dyDescent="0.25">
      <c r="BA135"/>
    </row>
    <row r="136" spans="53:53" x14ac:dyDescent="0.25">
      <c r="BA136"/>
    </row>
    <row r="137" spans="53:53" x14ac:dyDescent="0.25">
      <c r="BA137"/>
    </row>
    <row r="138" spans="53:53" x14ac:dyDescent="0.25">
      <c r="BA138"/>
    </row>
    <row r="139" spans="53:53" x14ac:dyDescent="0.25">
      <c r="BA139"/>
    </row>
    <row r="140" spans="53:53" x14ac:dyDescent="0.25">
      <c r="BA140"/>
    </row>
    <row r="141" spans="53:53" x14ac:dyDescent="0.25">
      <c r="BA141"/>
    </row>
    <row r="142" spans="53:53" x14ac:dyDescent="0.25">
      <c r="BA142"/>
    </row>
    <row r="143" spans="53:53" x14ac:dyDescent="0.25">
      <c r="BA143"/>
    </row>
    <row r="144" spans="53:53" x14ac:dyDescent="0.25">
      <c r="BA144"/>
    </row>
    <row r="145" spans="53:53" x14ac:dyDescent="0.25">
      <c r="BA145"/>
    </row>
    <row r="146" spans="53:53" x14ac:dyDescent="0.25">
      <c r="BA146"/>
    </row>
    <row r="147" spans="53:53" x14ac:dyDescent="0.25">
      <c r="BA147"/>
    </row>
    <row r="148" spans="53:53" x14ac:dyDescent="0.25">
      <c r="BA148"/>
    </row>
    <row r="149" spans="53:53" x14ac:dyDescent="0.25">
      <c r="BA149"/>
    </row>
    <row r="150" spans="53:53" x14ac:dyDescent="0.25">
      <c r="BA150"/>
    </row>
    <row r="151" spans="53:53" x14ac:dyDescent="0.25">
      <c r="BA151"/>
    </row>
    <row r="152" spans="53:53" x14ac:dyDescent="0.25">
      <c r="BA152"/>
    </row>
    <row r="153" spans="53:53" x14ac:dyDescent="0.25">
      <c r="BA153"/>
    </row>
    <row r="154" spans="53:53" x14ac:dyDescent="0.25">
      <c r="BA154"/>
    </row>
    <row r="155" spans="53:53" x14ac:dyDescent="0.25">
      <c r="BA155"/>
    </row>
    <row r="156" spans="53:53" x14ac:dyDescent="0.25">
      <c r="BA156"/>
    </row>
    <row r="157" spans="53:53" x14ac:dyDescent="0.25">
      <c r="BA157"/>
    </row>
    <row r="158" spans="53:53" x14ac:dyDescent="0.25">
      <c r="BA158"/>
    </row>
    <row r="159" spans="53:53" x14ac:dyDescent="0.25">
      <c r="BA159"/>
    </row>
    <row r="160" spans="53:53" x14ac:dyDescent="0.25">
      <c r="BA160"/>
    </row>
    <row r="161" spans="53:53" x14ac:dyDescent="0.25">
      <c r="BA161"/>
    </row>
    <row r="162" spans="53:53" x14ac:dyDescent="0.25">
      <c r="BA162"/>
    </row>
    <row r="163" spans="53:53" x14ac:dyDescent="0.25">
      <c r="BA163"/>
    </row>
    <row r="164" spans="53:53" x14ac:dyDescent="0.25">
      <c r="BA164"/>
    </row>
    <row r="165" spans="53:53" x14ac:dyDescent="0.25">
      <c r="BA165"/>
    </row>
    <row r="166" spans="53:53" x14ac:dyDescent="0.25">
      <c r="BA166"/>
    </row>
    <row r="167" spans="53:53" x14ac:dyDescent="0.25">
      <c r="BA167"/>
    </row>
    <row r="168" spans="53:53" x14ac:dyDescent="0.25">
      <c r="BA168"/>
    </row>
    <row r="169" spans="53:53" x14ac:dyDescent="0.25">
      <c r="BA169"/>
    </row>
    <row r="170" spans="53:53" x14ac:dyDescent="0.25">
      <c r="BA170"/>
    </row>
    <row r="171" spans="53:53" x14ac:dyDescent="0.25">
      <c r="BA171"/>
    </row>
    <row r="172" spans="53:53" x14ac:dyDescent="0.25">
      <c r="BA172"/>
    </row>
    <row r="173" spans="53:53" x14ac:dyDescent="0.25">
      <c r="BA173"/>
    </row>
    <row r="174" spans="53:53" x14ac:dyDescent="0.25">
      <c r="BA174"/>
    </row>
    <row r="175" spans="53:53" x14ac:dyDescent="0.25">
      <c r="BA175"/>
    </row>
    <row r="176" spans="53:53" x14ac:dyDescent="0.25">
      <c r="BA176"/>
    </row>
    <row r="177" spans="53:53" x14ac:dyDescent="0.25">
      <c r="BA177"/>
    </row>
    <row r="178" spans="53:53" x14ac:dyDescent="0.25">
      <c r="BA178"/>
    </row>
    <row r="179" spans="53:53" x14ac:dyDescent="0.25">
      <c r="BA179"/>
    </row>
    <row r="180" spans="53:53" x14ac:dyDescent="0.25">
      <c r="BA180"/>
    </row>
    <row r="181" spans="53:53" x14ac:dyDescent="0.25">
      <c r="BA181"/>
    </row>
    <row r="182" spans="53:53" x14ac:dyDescent="0.25">
      <c r="BA182"/>
    </row>
    <row r="183" spans="53:53" x14ac:dyDescent="0.25">
      <c r="BA183"/>
    </row>
    <row r="184" spans="53:53" x14ac:dyDescent="0.25">
      <c r="BA184"/>
    </row>
    <row r="185" spans="53:53" x14ac:dyDescent="0.25">
      <c r="BA185"/>
    </row>
    <row r="186" spans="53:53" x14ac:dyDescent="0.25">
      <c r="BA186"/>
    </row>
    <row r="187" spans="53:53" x14ac:dyDescent="0.25">
      <c r="BA187"/>
    </row>
    <row r="188" spans="53:53" x14ac:dyDescent="0.25">
      <c r="BA188"/>
    </row>
    <row r="189" spans="53:53" x14ac:dyDescent="0.25">
      <c r="BA189"/>
    </row>
    <row r="190" spans="53:53" x14ac:dyDescent="0.25">
      <c r="BA190"/>
    </row>
    <row r="191" spans="53:53" x14ac:dyDescent="0.25">
      <c r="BA191"/>
    </row>
    <row r="192" spans="53:53" x14ac:dyDescent="0.25">
      <c r="BA192"/>
    </row>
    <row r="193" spans="53:53" x14ac:dyDescent="0.25">
      <c r="BA193"/>
    </row>
    <row r="194" spans="53:53" x14ac:dyDescent="0.25">
      <c r="BA194"/>
    </row>
    <row r="195" spans="53:53" x14ac:dyDescent="0.25">
      <c r="BA195"/>
    </row>
    <row r="196" spans="53:53" x14ac:dyDescent="0.25">
      <c r="BA196"/>
    </row>
    <row r="197" spans="53:53" x14ac:dyDescent="0.25">
      <c r="BA197"/>
    </row>
    <row r="198" spans="53:53" x14ac:dyDescent="0.25">
      <c r="BA198"/>
    </row>
    <row r="199" spans="53:53" x14ac:dyDescent="0.25">
      <c r="BA199"/>
    </row>
    <row r="200" spans="53:53" x14ac:dyDescent="0.25">
      <c r="BA200"/>
    </row>
    <row r="201" spans="53:53" x14ac:dyDescent="0.25">
      <c r="BA201"/>
    </row>
    <row r="202" spans="53:53" x14ac:dyDescent="0.25">
      <c r="BA202"/>
    </row>
    <row r="203" spans="53:53" x14ac:dyDescent="0.25">
      <c r="BA203"/>
    </row>
    <row r="204" spans="53:53" x14ac:dyDescent="0.25">
      <c r="BA204"/>
    </row>
    <row r="205" spans="53:53" x14ac:dyDescent="0.25">
      <c r="BA205"/>
    </row>
    <row r="206" spans="53:53" x14ac:dyDescent="0.25">
      <c r="BA206"/>
    </row>
    <row r="207" spans="53:53" x14ac:dyDescent="0.25">
      <c r="BA207"/>
    </row>
    <row r="208" spans="53:53" x14ac:dyDescent="0.25">
      <c r="BA208"/>
    </row>
    <row r="209" spans="53:53" x14ac:dyDescent="0.25">
      <c r="BA209"/>
    </row>
    <row r="210" spans="53:53" x14ac:dyDescent="0.25">
      <c r="BA210"/>
    </row>
    <row r="211" spans="53:53" x14ac:dyDescent="0.25">
      <c r="BA211"/>
    </row>
    <row r="212" spans="53:53" x14ac:dyDescent="0.25">
      <c r="BA212"/>
    </row>
    <row r="213" spans="53:53" x14ac:dyDescent="0.25">
      <c r="BA213"/>
    </row>
    <row r="214" spans="53:53" x14ac:dyDescent="0.25">
      <c r="BA214"/>
    </row>
    <row r="215" spans="53:53" x14ac:dyDescent="0.25">
      <c r="BA215"/>
    </row>
    <row r="216" spans="53:53" x14ac:dyDescent="0.25">
      <c r="BA216"/>
    </row>
    <row r="217" spans="53:53" x14ac:dyDescent="0.25">
      <c r="BA217"/>
    </row>
    <row r="218" spans="53:53" x14ac:dyDescent="0.25">
      <c r="BA218"/>
    </row>
    <row r="219" spans="53:53" x14ac:dyDescent="0.25">
      <c r="BA219"/>
    </row>
    <row r="220" spans="53:53" x14ac:dyDescent="0.25">
      <c r="BA220"/>
    </row>
    <row r="221" spans="53:53" x14ac:dyDescent="0.25">
      <c r="BA221"/>
    </row>
    <row r="222" spans="53:53" x14ac:dyDescent="0.25">
      <c r="BA222"/>
    </row>
    <row r="223" spans="53:53" x14ac:dyDescent="0.25">
      <c r="BA223"/>
    </row>
    <row r="224" spans="53:53" x14ac:dyDescent="0.25">
      <c r="BA224"/>
    </row>
    <row r="225" spans="53:53" x14ac:dyDescent="0.25">
      <c r="BA225"/>
    </row>
    <row r="226" spans="53:53" x14ac:dyDescent="0.25">
      <c r="BA226"/>
    </row>
    <row r="227" spans="53:53" x14ac:dyDescent="0.25">
      <c r="BA227"/>
    </row>
    <row r="228" spans="53:53" x14ac:dyDescent="0.25">
      <c r="BA228"/>
    </row>
    <row r="229" spans="53:53" x14ac:dyDescent="0.25">
      <c r="BA229"/>
    </row>
    <row r="230" spans="53:53" x14ac:dyDescent="0.25">
      <c r="BA230"/>
    </row>
    <row r="231" spans="53:53" x14ac:dyDescent="0.25">
      <c r="BA231"/>
    </row>
    <row r="232" spans="53:53" x14ac:dyDescent="0.25">
      <c r="BA232"/>
    </row>
    <row r="233" spans="53:53" x14ac:dyDescent="0.25">
      <c r="BA233"/>
    </row>
    <row r="234" spans="53:53" x14ac:dyDescent="0.25">
      <c r="BA234"/>
    </row>
    <row r="235" spans="53:53" x14ac:dyDescent="0.25">
      <c r="BA235"/>
    </row>
    <row r="236" spans="53:53" x14ac:dyDescent="0.25">
      <c r="BA236"/>
    </row>
    <row r="237" spans="53:53" x14ac:dyDescent="0.25">
      <c r="BA237"/>
    </row>
    <row r="238" spans="53:53" x14ac:dyDescent="0.25">
      <c r="BA238"/>
    </row>
    <row r="239" spans="53:53" x14ac:dyDescent="0.25">
      <c r="BA239"/>
    </row>
    <row r="240" spans="53:53" x14ac:dyDescent="0.25">
      <c r="BA240"/>
    </row>
    <row r="241" spans="53:53" x14ac:dyDescent="0.25">
      <c r="BA241"/>
    </row>
    <row r="242" spans="53:53" x14ac:dyDescent="0.25">
      <c r="BA242"/>
    </row>
    <row r="243" spans="53:53" x14ac:dyDescent="0.25">
      <c r="BA243"/>
    </row>
    <row r="244" spans="53:53" x14ac:dyDescent="0.25">
      <c r="BA244"/>
    </row>
    <row r="245" spans="53:53" x14ac:dyDescent="0.25">
      <c r="BA245"/>
    </row>
    <row r="246" spans="53:53" x14ac:dyDescent="0.25">
      <c r="BA246"/>
    </row>
    <row r="247" spans="53:53" x14ac:dyDescent="0.25">
      <c r="BA247"/>
    </row>
    <row r="248" spans="53:53" x14ac:dyDescent="0.25">
      <c r="BA248"/>
    </row>
    <row r="249" spans="53:53" x14ac:dyDescent="0.25">
      <c r="BA249"/>
    </row>
    <row r="250" spans="53:53" x14ac:dyDescent="0.25">
      <c r="BA250"/>
    </row>
    <row r="251" spans="53:53" x14ac:dyDescent="0.25">
      <c r="BA251"/>
    </row>
    <row r="252" spans="53:53" x14ac:dyDescent="0.25">
      <c r="BA252"/>
    </row>
    <row r="253" spans="53:53" x14ac:dyDescent="0.25">
      <c r="BA253"/>
    </row>
    <row r="254" spans="53:53" x14ac:dyDescent="0.25">
      <c r="BA254"/>
    </row>
    <row r="255" spans="53:53" x14ac:dyDescent="0.25">
      <c r="BA255"/>
    </row>
    <row r="256" spans="53:53" x14ac:dyDescent="0.25">
      <c r="BA256"/>
    </row>
    <row r="257" spans="53:53" x14ac:dyDescent="0.25">
      <c r="BA257"/>
    </row>
    <row r="258" spans="53:53" x14ac:dyDescent="0.25">
      <c r="BA258"/>
    </row>
    <row r="259" spans="53:53" x14ac:dyDescent="0.25">
      <c r="BA259"/>
    </row>
    <row r="260" spans="53:53" x14ac:dyDescent="0.25">
      <c r="BA260"/>
    </row>
    <row r="261" spans="53:53" x14ac:dyDescent="0.25">
      <c r="BA261"/>
    </row>
    <row r="262" spans="53:53" x14ac:dyDescent="0.25">
      <c r="BA262"/>
    </row>
    <row r="263" spans="53:53" x14ac:dyDescent="0.25">
      <c r="BA263"/>
    </row>
    <row r="264" spans="53:53" x14ac:dyDescent="0.25">
      <c r="BA264"/>
    </row>
    <row r="265" spans="53:53" x14ac:dyDescent="0.25">
      <c r="BA265"/>
    </row>
    <row r="266" spans="53:53" x14ac:dyDescent="0.25">
      <c r="BA266"/>
    </row>
    <row r="267" spans="53:53" x14ac:dyDescent="0.25">
      <c r="BA267"/>
    </row>
    <row r="268" spans="53:53" x14ac:dyDescent="0.25">
      <c r="BA268"/>
    </row>
    <row r="269" spans="53:53" x14ac:dyDescent="0.25">
      <c r="BA269"/>
    </row>
    <row r="270" spans="53:53" x14ac:dyDescent="0.25">
      <c r="BA270"/>
    </row>
    <row r="271" spans="53:53" x14ac:dyDescent="0.25">
      <c r="BA271"/>
    </row>
    <row r="272" spans="53:53" x14ac:dyDescent="0.25">
      <c r="BA272"/>
    </row>
    <row r="273" spans="53:53" x14ac:dyDescent="0.25">
      <c r="BA273"/>
    </row>
    <row r="274" spans="53:53" x14ac:dyDescent="0.25">
      <c r="BA274"/>
    </row>
    <row r="275" spans="53:53" x14ac:dyDescent="0.25">
      <c r="BA275"/>
    </row>
    <row r="276" spans="53:53" x14ac:dyDescent="0.25">
      <c r="BA276"/>
    </row>
    <row r="277" spans="53:53" x14ac:dyDescent="0.25">
      <c r="BA277"/>
    </row>
    <row r="278" spans="53:53" x14ac:dyDescent="0.25">
      <c r="BA278"/>
    </row>
    <row r="279" spans="53:53" x14ac:dyDescent="0.25">
      <c r="BA279"/>
    </row>
    <row r="280" spans="53:53" x14ac:dyDescent="0.25">
      <c r="BA280"/>
    </row>
    <row r="281" spans="53:53" x14ac:dyDescent="0.25">
      <c r="BA281"/>
    </row>
    <row r="282" spans="53:53" x14ac:dyDescent="0.25">
      <c r="BA282"/>
    </row>
    <row r="283" spans="53:53" x14ac:dyDescent="0.25">
      <c r="BA283"/>
    </row>
    <row r="284" spans="53:53" x14ac:dyDescent="0.25">
      <c r="BA284"/>
    </row>
    <row r="285" spans="53:53" x14ac:dyDescent="0.25">
      <c r="BA285"/>
    </row>
    <row r="286" spans="53:53" x14ac:dyDescent="0.25">
      <c r="BA286"/>
    </row>
    <row r="287" spans="53:53" x14ac:dyDescent="0.25">
      <c r="BA287"/>
    </row>
    <row r="288" spans="53:53" x14ac:dyDescent="0.25">
      <c r="BA288"/>
    </row>
    <row r="289" spans="53:53" x14ac:dyDescent="0.25">
      <c r="BA289"/>
    </row>
    <row r="290" spans="53:53" x14ac:dyDescent="0.25">
      <c r="BA290"/>
    </row>
    <row r="291" spans="53:53" x14ac:dyDescent="0.25">
      <c r="BA291"/>
    </row>
    <row r="292" spans="53:53" x14ac:dyDescent="0.25">
      <c r="BA292"/>
    </row>
    <row r="293" spans="53:53" x14ac:dyDescent="0.25">
      <c r="BA293"/>
    </row>
    <row r="294" spans="53:53" x14ac:dyDescent="0.25">
      <c r="BA294"/>
    </row>
    <row r="295" spans="53:53" x14ac:dyDescent="0.25">
      <c r="BA295"/>
    </row>
    <row r="296" spans="53:53" x14ac:dyDescent="0.25">
      <c r="BA296"/>
    </row>
    <row r="297" spans="53:53" x14ac:dyDescent="0.25">
      <c r="BA297"/>
    </row>
    <row r="298" spans="53:53" x14ac:dyDescent="0.25">
      <c r="BA298"/>
    </row>
    <row r="299" spans="53:53" x14ac:dyDescent="0.25">
      <c r="BA299"/>
    </row>
    <row r="300" spans="53:53" x14ac:dyDescent="0.25">
      <c r="BA300"/>
    </row>
    <row r="301" spans="53:53" x14ac:dyDescent="0.25">
      <c r="BA301"/>
    </row>
    <row r="302" spans="53:53" x14ac:dyDescent="0.25">
      <c r="BA302"/>
    </row>
    <row r="303" spans="53:53" x14ac:dyDescent="0.25">
      <c r="BA303"/>
    </row>
    <row r="304" spans="53:53" x14ac:dyDescent="0.25">
      <c r="BA304"/>
    </row>
    <row r="305" spans="53:53" x14ac:dyDescent="0.25">
      <c r="BA305"/>
    </row>
    <row r="306" spans="53:53" x14ac:dyDescent="0.25">
      <c r="BA306"/>
    </row>
    <row r="307" spans="53:53" x14ac:dyDescent="0.25">
      <c r="BA307"/>
    </row>
    <row r="308" spans="53:53" x14ac:dyDescent="0.25">
      <c r="BA308"/>
    </row>
    <row r="309" spans="53:53" x14ac:dyDescent="0.25">
      <c r="BA309"/>
    </row>
    <row r="310" spans="53:53" x14ac:dyDescent="0.25">
      <c r="BA310"/>
    </row>
    <row r="311" spans="53:53" x14ac:dyDescent="0.25">
      <c r="BA311"/>
    </row>
    <row r="312" spans="53:53" x14ac:dyDescent="0.25">
      <c r="BA312"/>
    </row>
    <row r="313" spans="53:53" x14ac:dyDescent="0.25">
      <c r="BA313"/>
    </row>
    <row r="314" spans="53:53" x14ac:dyDescent="0.25">
      <c r="BA314"/>
    </row>
    <row r="315" spans="53:53" x14ac:dyDescent="0.25">
      <c r="BA315"/>
    </row>
    <row r="316" spans="53:53" x14ac:dyDescent="0.25">
      <c r="BA316"/>
    </row>
    <row r="317" spans="53:53" x14ac:dyDescent="0.25">
      <c r="BA317"/>
    </row>
    <row r="318" spans="53:53" x14ac:dyDescent="0.25">
      <c r="BA318"/>
    </row>
    <row r="319" spans="53:53" x14ac:dyDescent="0.25">
      <c r="BA319"/>
    </row>
    <row r="320" spans="53:53" x14ac:dyDescent="0.25">
      <c r="BA320"/>
    </row>
    <row r="321" spans="53:53" x14ac:dyDescent="0.25">
      <c r="BA321"/>
    </row>
    <row r="322" spans="53:53" x14ac:dyDescent="0.25">
      <c r="BA322"/>
    </row>
    <row r="323" spans="53:53" x14ac:dyDescent="0.25">
      <c r="BA323"/>
    </row>
    <row r="324" spans="53:53" x14ac:dyDescent="0.25">
      <c r="BA324"/>
    </row>
    <row r="325" spans="53:53" x14ac:dyDescent="0.25">
      <c r="BA325"/>
    </row>
    <row r="326" spans="53:53" x14ac:dyDescent="0.25">
      <c r="BA326"/>
    </row>
    <row r="327" spans="53:53" x14ac:dyDescent="0.25">
      <c r="BA327"/>
    </row>
    <row r="328" spans="53:53" x14ac:dyDescent="0.25">
      <c r="BA328"/>
    </row>
    <row r="329" spans="53:53" x14ac:dyDescent="0.25">
      <c r="BA329"/>
    </row>
    <row r="330" spans="53:53" x14ac:dyDescent="0.25">
      <c r="BA330"/>
    </row>
    <row r="331" spans="53:53" x14ac:dyDescent="0.25">
      <c r="BA331"/>
    </row>
    <row r="332" spans="53:53" x14ac:dyDescent="0.25">
      <c r="BA332"/>
    </row>
    <row r="333" spans="53:53" x14ac:dyDescent="0.25">
      <c r="BA333"/>
    </row>
    <row r="334" spans="53:53" x14ac:dyDescent="0.25">
      <c r="BA334"/>
    </row>
    <row r="335" spans="53:53" x14ac:dyDescent="0.25">
      <c r="BA335"/>
    </row>
    <row r="336" spans="53:53" x14ac:dyDescent="0.25">
      <c r="BA336"/>
    </row>
    <row r="337" spans="53:53" x14ac:dyDescent="0.25">
      <c r="BA337"/>
    </row>
    <row r="338" spans="53:53" x14ac:dyDescent="0.25">
      <c r="BA338"/>
    </row>
    <row r="339" spans="53:53" x14ac:dyDescent="0.25">
      <c r="BA339"/>
    </row>
    <row r="340" spans="53:53" x14ac:dyDescent="0.25">
      <c r="BA340"/>
    </row>
    <row r="341" spans="53:53" x14ac:dyDescent="0.25">
      <c r="BA341"/>
    </row>
    <row r="342" spans="53:53" x14ac:dyDescent="0.25">
      <c r="BA342"/>
    </row>
    <row r="343" spans="53:53" x14ac:dyDescent="0.25">
      <c r="BA343"/>
    </row>
    <row r="344" spans="53:53" x14ac:dyDescent="0.25">
      <c r="BA344"/>
    </row>
    <row r="345" spans="53:53" x14ac:dyDescent="0.25">
      <c r="BA345"/>
    </row>
    <row r="346" spans="53:53" x14ac:dyDescent="0.25">
      <c r="BA346"/>
    </row>
    <row r="347" spans="53:53" x14ac:dyDescent="0.25">
      <c r="BA347"/>
    </row>
    <row r="348" spans="53:53" x14ac:dyDescent="0.25">
      <c r="BA348"/>
    </row>
    <row r="349" spans="53:53" x14ac:dyDescent="0.25">
      <c r="BA349"/>
    </row>
    <row r="350" spans="53:53" x14ac:dyDescent="0.25">
      <c r="BA350"/>
    </row>
    <row r="351" spans="53:53" x14ac:dyDescent="0.25">
      <c r="BA351"/>
    </row>
    <row r="352" spans="53:53" x14ac:dyDescent="0.25">
      <c r="BA352"/>
    </row>
    <row r="353" spans="53:53" x14ac:dyDescent="0.25">
      <c r="BA353"/>
    </row>
    <row r="354" spans="53:53" x14ac:dyDescent="0.25">
      <c r="BA354"/>
    </row>
    <row r="355" spans="53:53" x14ac:dyDescent="0.25">
      <c r="BA355"/>
    </row>
    <row r="356" spans="53:53" x14ac:dyDescent="0.25">
      <c r="BA356"/>
    </row>
    <row r="357" spans="53:53" x14ac:dyDescent="0.25">
      <c r="BA357"/>
    </row>
    <row r="358" spans="53:53" x14ac:dyDescent="0.25">
      <c r="BA358"/>
    </row>
    <row r="359" spans="53:53" x14ac:dyDescent="0.25">
      <c r="BA359"/>
    </row>
    <row r="360" spans="53:53" x14ac:dyDescent="0.25">
      <c r="BA360"/>
    </row>
    <row r="361" spans="53:53" x14ac:dyDescent="0.25">
      <c r="BA361"/>
    </row>
    <row r="362" spans="53:53" x14ac:dyDescent="0.25">
      <c r="BA362"/>
    </row>
    <row r="363" spans="53:53" x14ac:dyDescent="0.25">
      <c r="BA363"/>
    </row>
    <row r="364" spans="53:53" x14ac:dyDescent="0.25">
      <c r="BA364"/>
    </row>
    <row r="365" spans="53:53" x14ac:dyDescent="0.25">
      <c r="BA365"/>
    </row>
    <row r="366" spans="53:53" x14ac:dyDescent="0.25">
      <c r="BA366"/>
    </row>
    <row r="367" spans="53:53" x14ac:dyDescent="0.25">
      <c r="BA367"/>
    </row>
    <row r="368" spans="53:53" x14ac:dyDescent="0.25">
      <c r="BA368"/>
    </row>
    <row r="369" spans="53:53" x14ac:dyDescent="0.25">
      <c r="BA369"/>
    </row>
    <row r="370" spans="53:53" x14ac:dyDescent="0.25">
      <c r="BA370"/>
    </row>
    <row r="371" spans="53:53" x14ac:dyDescent="0.25">
      <c r="BA371"/>
    </row>
    <row r="372" spans="53:53" x14ac:dyDescent="0.25">
      <c r="BA372"/>
    </row>
    <row r="373" spans="53:53" x14ac:dyDescent="0.25">
      <c r="BA373"/>
    </row>
    <row r="374" spans="53:53" x14ac:dyDescent="0.25">
      <c r="BA374"/>
    </row>
    <row r="375" spans="53:53" x14ac:dyDescent="0.25">
      <c r="BA375"/>
    </row>
    <row r="376" spans="53:53" x14ac:dyDescent="0.25">
      <c r="BA376"/>
    </row>
    <row r="377" spans="53:53" x14ac:dyDescent="0.25">
      <c r="BA377"/>
    </row>
    <row r="378" spans="53:53" x14ac:dyDescent="0.25">
      <c r="BA378"/>
    </row>
    <row r="379" spans="53:53" x14ac:dyDescent="0.25">
      <c r="BA379"/>
    </row>
    <row r="380" spans="53:53" x14ac:dyDescent="0.25">
      <c r="BA380"/>
    </row>
    <row r="381" spans="53:53" x14ac:dyDescent="0.25">
      <c r="BA381"/>
    </row>
    <row r="382" spans="53:53" x14ac:dyDescent="0.25">
      <c r="BA382"/>
    </row>
    <row r="383" spans="53:53" x14ac:dyDescent="0.25">
      <c r="BA383"/>
    </row>
    <row r="384" spans="53:53" x14ac:dyDescent="0.25">
      <c r="BA384"/>
    </row>
    <row r="385" spans="53:53" x14ac:dyDescent="0.25">
      <c r="BA385"/>
    </row>
    <row r="386" spans="53:53" x14ac:dyDescent="0.25">
      <c r="BA386"/>
    </row>
    <row r="387" spans="53:53" x14ac:dyDescent="0.25">
      <c r="BA387"/>
    </row>
    <row r="388" spans="53:53" x14ac:dyDescent="0.25">
      <c r="BA388"/>
    </row>
    <row r="389" spans="53:53" x14ac:dyDescent="0.25">
      <c r="BA389"/>
    </row>
    <row r="390" spans="53:53" x14ac:dyDescent="0.25">
      <c r="BA390"/>
    </row>
    <row r="391" spans="53:53" x14ac:dyDescent="0.25">
      <c r="BA391"/>
    </row>
    <row r="392" spans="53:53" x14ac:dyDescent="0.25">
      <c r="BA392"/>
    </row>
    <row r="393" spans="53:53" x14ac:dyDescent="0.25">
      <c r="BA393"/>
    </row>
    <row r="394" spans="53:53" x14ac:dyDescent="0.25">
      <c r="BA394"/>
    </row>
    <row r="395" spans="53:53" x14ac:dyDescent="0.25">
      <c r="BA395"/>
    </row>
    <row r="396" spans="53:53" x14ac:dyDescent="0.25">
      <c r="BA396"/>
    </row>
    <row r="397" spans="53:53" x14ac:dyDescent="0.25">
      <c r="BA397"/>
    </row>
    <row r="398" spans="53:53" x14ac:dyDescent="0.25">
      <c r="BA398"/>
    </row>
    <row r="399" spans="53:53" x14ac:dyDescent="0.25">
      <c r="BA399"/>
    </row>
    <row r="400" spans="53:53" x14ac:dyDescent="0.25">
      <c r="BA400"/>
    </row>
    <row r="401" spans="53:53" x14ac:dyDescent="0.25">
      <c r="BA401"/>
    </row>
    <row r="402" spans="53:53" x14ac:dyDescent="0.25">
      <c r="BA402"/>
    </row>
    <row r="403" spans="53:53" x14ac:dyDescent="0.25">
      <c r="BA403"/>
    </row>
    <row r="404" spans="53:53" x14ac:dyDescent="0.25">
      <c r="BA404"/>
    </row>
    <row r="405" spans="53:53" x14ac:dyDescent="0.25">
      <c r="BA405"/>
    </row>
    <row r="406" spans="53:53" x14ac:dyDescent="0.25">
      <c r="BA406"/>
    </row>
    <row r="407" spans="53:53" x14ac:dyDescent="0.25">
      <c r="BA407"/>
    </row>
    <row r="408" spans="53:53" x14ac:dyDescent="0.25">
      <c r="BA408"/>
    </row>
    <row r="409" spans="53:53" x14ac:dyDescent="0.25">
      <c r="BA409"/>
    </row>
    <row r="410" spans="53:53" x14ac:dyDescent="0.25">
      <c r="BA410"/>
    </row>
    <row r="411" spans="53:53" x14ac:dyDescent="0.25">
      <c r="BA411"/>
    </row>
    <row r="412" spans="53:53" x14ac:dyDescent="0.25">
      <c r="BA412"/>
    </row>
    <row r="413" spans="53:53" x14ac:dyDescent="0.25">
      <c r="BA413"/>
    </row>
    <row r="414" spans="53:53" x14ac:dyDescent="0.25">
      <c r="BA414"/>
    </row>
    <row r="415" spans="53:53" x14ac:dyDescent="0.25">
      <c r="BA415"/>
    </row>
    <row r="416" spans="53:53" x14ac:dyDescent="0.25">
      <c r="BA416"/>
    </row>
    <row r="417" spans="53:53" x14ac:dyDescent="0.25">
      <c r="BA417"/>
    </row>
    <row r="418" spans="53:53" x14ac:dyDescent="0.25">
      <c r="BA418"/>
    </row>
    <row r="419" spans="53:53" x14ac:dyDescent="0.25">
      <c r="BA419"/>
    </row>
    <row r="420" spans="53:53" x14ac:dyDescent="0.25">
      <c r="BA420"/>
    </row>
    <row r="421" spans="53:53" x14ac:dyDescent="0.25">
      <c r="BA421"/>
    </row>
    <row r="422" spans="53:53" x14ac:dyDescent="0.25">
      <c r="BA422"/>
    </row>
    <row r="423" spans="53:53" x14ac:dyDescent="0.25">
      <c r="BA423"/>
    </row>
    <row r="424" spans="53:53" x14ac:dyDescent="0.25">
      <c r="BA424"/>
    </row>
    <row r="425" spans="53:53" x14ac:dyDescent="0.25">
      <c r="BA425"/>
    </row>
    <row r="426" spans="53:53" x14ac:dyDescent="0.25">
      <c r="BA426"/>
    </row>
    <row r="427" spans="53:53" x14ac:dyDescent="0.25">
      <c r="BA427"/>
    </row>
    <row r="428" spans="53:53" x14ac:dyDescent="0.25">
      <c r="BA428"/>
    </row>
    <row r="429" spans="53:53" x14ac:dyDescent="0.25">
      <c r="BA429"/>
    </row>
    <row r="430" spans="53:53" x14ac:dyDescent="0.25">
      <c r="BA430"/>
    </row>
    <row r="431" spans="53:53" x14ac:dyDescent="0.25">
      <c r="BA431"/>
    </row>
    <row r="432" spans="53:53" x14ac:dyDescent="0.25">
      <c r="BA432"/>
    </row>
    <row r="433" spans="53:53" x14ac:dyDescent="0.25">
      <c r="BA433"/>
    </row>
    <row r="434" spans="53:53" x14ac:dyDescent="0.25">
      <c r="BA434"/>
    </row>
    <row r="435" spans="53:53" x14ac:dyDescent="0.25">
      <c r="BA435"/>
    </row>
    <row r="436" spans="53:53" x14ac:dyDescent="0.25">
      <c r="BA436"/>
    </row>
    <row r="437" spans="53:53" x14ac:dyDescent="0.25">
      <c r="BA437"/>
    </row>
    <row r="438" spans="53:53" x14ac:dyDescent="0.25">
      <c r="BA438"/>
    </row>
    <row r="439" spans="53:53" x14ac:dyDescent="0.25">
      <c r="BA439"/>
    </row>
    <row r="440" spans="53:53" x14ac:dyDescent="0.25">
      <c r="BA440"/>
    </row>
    <row r="441" spans="53:53" x14ac:dyDescent="0.25">
      <c r="BA441"/>
    </row>
    <row r="442" spans="53:53" x14ac:dyDescent="0.25">
      <c r="BA442"/>
    </row>
    <row r="443" spans="53:53" x14ac:dyDescent="0.25">
      <c r="BA443"/>
    </row>
    <row r="444" spans="53:53" x14ac:dyDescent="0.25">
      <c r="BA444"/>
    </row>
    <row r="445" spans="53:53" x14ac:dyDescent="0.25">
      <c r="BA445"/>
    </row>
    <row r="446" spans="53:53" x14ac:dyDescent="0.25">
      <c r="BA446"/>
    </row>
    <row r="447" spans="53:53" x14ac:dyDescent="0.25">
      <c r="BA447"/>
    </row>
    <row r="448" spans="53:53" x14ac:dyDescent="0.25">
      <c r="BA448"/>
    </row>
    <row r="449" spans="53:53" x14ac:dyDescent="0.25">
      <c r="BA449"/>
    </row>
    <row r="450" spans="53:53" x14ac:dyDescent="0.25">
      <c r="BA450"/>
    </row>
    <row r="451" spans="53:53" x14ac:dyDescent="0.25">
      <c r="BA451"/>
    </row>
    <row r="452" spans="53:53" x14ac:dyDescent="0.25">
      <c r="BA452"/>
    </row>
    <row r="453" spans="53:53" x14ac:dyDescent="0.25">
      <c r="BA453"/>
    </row>
    <row r="454" spans="53:53" x14ac:dyDescent="0.25">
      <c r="BA454"/>
    </row>
    <row r="455" spans="53:53" x14ac:dyDescent="0.25">
      <c r="BA455"/>
    </row>
    <row r="456" spans="53:53" x14ac:dyDescent="0.25">
      <c r="BA456"/>
    </row>
    <row r="457" spans="53:53" x14ac:dyDescent="0.25">
      <c r="BA457"/>
    </row>
    <row r="458" spans="53:53" x14ac:dyDescent="0.25">
      <c r="BA458"/>
    </row>
    <row r="459" spans="53:53" x14ac:dyDescent="0.25">
      <c r="BA459"/>
    </row>
    <row r="460" spans="53:53" x14ac:dyDescent="0.25">
      <c r="BA460"/>
    </row>
    <row r="461" spans="53:53" x14ac:dyDescent="0.25">
      <c r="BA461"/>
    </row>
    <row r="462" spans="53:53" x14ac:dyDescent="0.25">
      <c r="BA462"/>
    </row>
    <row r="463" spans="53:53" x14ac:dyDescent="0.25">
      <c r="BA463"/>
    </row>
    <row r="464" spans="53:53" x14ac:dyDescent="0.25">
      <c r="BA464"/>
    </row>
    <row r="465" spans="53:53" x14ac:dyDescent="0.25">
      <c r="BA465"/>
    </row>
    <row r="466" spans="53:53" x14ac:dyDescent="0.25">
      <c r="BA466"/>
    </row>
    <row r="467" spans="53:53" x14ac:dyDescent="0.25">
      <c r="BA467"/>
    </row>
    <row r="468" spans="53:53" x14ac:dyDescent="0.25">
      <c r="BA468"/>
    </row>
    <row r="469" spans="53:53" x14ac:dyDescent="0.25">
      <c r="BA469"/>
    </row>
    <row r="470" spans="53:53" x14ac:dyDescent="0.25">
      <c r="BA470"/>
    </row>
    <row r="471" spans="53:53" x14ac:dyDescent="0.25">
      <c r="BA471"/>
    </row>
    <row r="472" spans="53:53" x14ac:dyDescent="0.25">
      <c r="BA472"/>
    </row>
    <row r="473" spans="53:53" x14ac:dyDescent="0.25">
      <c r="BA473"/>
    </row>
    <row r="474" spans="53:53" x14ac:dyDescent="0.25">
      <c r="BA474"/>
    </row>
    <row r="475" spans="53:53" x14ac:dyDescent="0.25">
      <c r="BA475"/>
    </row>
    <row r="476" spans="53:53" x14ac:dyDescent="0.25">
      <c r="BA476"/>
    </row>
    <row r="477" spans="53:53" x14ac:dyDescent="0.25">
      <c r="BA477"/>
    </row>
    <row r="478" spans="53:53" x14ac:dyDescent="0.25">
      <c r="BA478"/>
    </row>
    <row r="479" spans="53:53" x14ac:dyDescent="0.25">
      <c r="BA479"/>
    </row>
    <row r="480" spans="53:53" x14ac:dyDescent="0.25">
      <c r="BA480"/>
    </row>
    <row r="481" spans="53:53" x14ac:dyDescent="0.25">
      <c r="BA481"/>
    </row>
    <row r="482" spans="53:53" x14ac:dyDescent="0.25">
      <c r="BA482"/>
    </row>
    <row r="483" spans="53:53" x14ac:dyDescent="0.25">
      <c r="BA483"/>
    </row>
    <row r="484" spans="53:53" x14ac:dyDescent="0.25">
      <c r="BA484"/>
    </row>
    <row r="485" spans="53:53" x14ac:dyDescent="0.25">
      <c r="BA485"/>
    </row>
    <row r="486" spans="53:53" x14ac:dyDescent="0.25">
      <c r="BA486"/>
    </row>
    <row r="487" spans="53:53" x14ac:dyDescent="0.25">
      <c r="BA487"/>
    </row>
    <row r="488" spans="53:53" x14ac:dyDescent="0.25">
      <c r="BA488"/>
    </row>
    <row r="489" spans="53:53" x14ac:dyDescent="0.25">
      <c r="BA489"/>
    </row>
    <row r="490" spans="53:53" x14ac:dyDescent="0.25">
      <c r="BA490"/>
    </row>
    <row r="491" spans="53:53" x14ac:dyDescent="0.25">
      <c r="BA491"/>
    </row>
    <row r="492" spans="53:53" x14ac:dyDescent="0.25">
      <c r="BA492"/>
    </row>
    <row r="493" spans="53:53" x14ac:dyDescent="0.25">
      <c r="BA493"/>
    </row>
    <row r="494" spans="53:53" x14ac:dyDescent="0.25">
      <c r="BA494"/>
    </row>
    <row r="495" spans="53:53" x14ac:dyDescent="0.25">
      <c r="BA495"/>
    </row>
    <row r="496" spans="53:53" x14ac:dyDescent="0.25">
      <c r="BA496"/>
    </row>
    <row r="497" spans="53:53" x14ac:dyDescent="0.25">
      <c r="BA497"/>
    </row>
    <row r="498" spans="53:53" x14ac:dyDescent="0.25">
      <c r="BA498"/>
    </row>
    <row r="499" spans="53:53" x14ac:dyDescent="0.25">
      <c r="BA499"/>
    </row>
    <row r="500" spans="53:53" x14ac:dyDescent="0.25">
      <c r="BA500"/>
    </row>
    <row r="501" spans="53:53" x14ac:dyDescent="0.25">
      <c r="BA501"/>
    </row>
    <row r="502" spans="53:53" x14ac:dyDescent="0.25">
      <c r="BA502"/>
    </row>
    <row r="503" spans="53:53" x14ac:dyDescent="0.25">
      <c r="BA503"/>
    </row>
    <row r="504" spans="53:53" x14ac:dyDescent="0.25">
      <c r="BA504"/>
    </row>
    <row r="505" spans="53:53" x14ac:dyDescent="0.25">
      <c r="BA505"/>
    </row>
    <row r="506" spans="53:53" x14ac:dyDescent="0.25">
      <c r="BA506"/>
    </row>
    <row r="507" spans="53:53" x14ac:dyDescent="0.25">
      <c r="BA507"/>
    </row>
    <row r="508" spans="53:53" x14ac:dyDescent="0.25">
      <c r="BA508"/>
    </row>
    <row r="509" spans="53:53" x14ac:dyDescent="0.25">
      <c r="BA509"/>
    </row>
    <row r="510" spans="53:53" x14ac:dyDescent="0.25">
      <c r="BA510"/>
    </row>
    <row r="511" spans="53:53" x14ac:dyDescent="0.25">
      <c r="BA511"/>
    </row>
    <row r="512" spans="53:53" x14ac:dyDescent="0.25">
      <c r="BA512"/>
    </row>
    <row r="513" spans="53:53" x14ac:dyDescent="0.25">
      <c r="BA513"/>
    </row>
    <row r="514" spans="53:53" x14ac:dyDescent="0.25">
      <c r="BA514"/>
    </row>
    <row r="515" spans="53:53" x14ac:dyDescent="0.25">
      <c r="BA515"/>
    </row>
    <row r="516" spans="53:53" x14ac:dyDescent="0.25">
      <c r="BA516"/>
    </row>
    <row r="517" spans="53:53" x14ac:dyDescent="0.25">
      <c r="BA517"/>
    </row>
    <row r="518" spans="53:53" x14ac:dyDescent="0.25">
      <c r="BA518"/>
    </row>
    <row r="519" spans="53:53" x14ac:dyDescent="0.25">
      <c r="BA519"/>
    </row>
    <row r="520" spans="53:53" x14ac:dyDescent="0.25">
      <c r="BA520"/>
    </row>
    <row r="521" spans="53:53" x14ac:dyDescent="0.25">
      <c r="BA521"/>
    </row>
    <row r="522" spans="53:53" x14ac:dyDescent="0.25">
      <c r="BA522"/>
    </row>
    <row r="523" spans="53:53" x14ac:dyDescent="0.25">
      <c r="BA523"/>
    </row>
    <row r="524" spans="53:53" x14ac:dyDescent="0.25">
      <c r="BA524"/>
    </row>
    <row r="525" spans="53:53" x14ac:dyDescent="0.25">
      <c r="BA525"/>
    </row>
    <row r="526" spans="53:53" x14ac:dyDescent="0.25">
      <c r="BA526"/>
    </row>
    <row r="527" spans="53:53" x14ac:dyDescent="0.25">
      <c r="BA527"/>
    </row>
    <row r="528" spans="53:53" x14ac:dyDescent="0.25">
      <c r="BA528"/>
    </row>
    <row r="529" spans="53:53" x14ac:dyDescent="0.25">
      <c r="BA529"/>
    </row>
    <row r="530" spans="53:53" x14ac:dyDescent="0.25">
      <c r="BA530"/>
    </row>
    <row r="531" spans="53:53" x14ac:dyDescent="0.25">
      <c r="BA531"/>
    </row>
    <row r="532" spans="53:53" x14ac:dyDescent="0.25">
      <c r="BA532"/>
    </row>
    <row r="533" spans="53:53" x14ac:dyDescent="0.25">
      <c r="BA533"/>
    </row>
    <row r="534" spans="53:53" x14ac:dyDescent="0.25">
      <c r="BA534"/>
    </row>
    <row r="535" spans="53:53" x14ac:dyDescent="0.25">
      <c r="BA535"/>
    </row>
    <row r="536" spans="53:53" x14ac:dyDescent="0.25">
      <c r="BA536"/>
    </row>
    <row r="537" spans="53:53" x14ac:dyDescent="0.25">
      <c r="BA537"/>
    </row>
    <row r="538" spans="53:53" x14ac:dyDescent="0.25">
      <c r="BA538"/>
    </row>
    <row r="539" spans="53:53" x14ac:dyDescent="0.25">
      <c r="BA539"/>
    </row>
    <row r="540" spans="53:53" x14ac:dyDescent="0.25">
      <c r="BA540"/>
    </row>
    <row r="541" spans="53:53" x14ac:dyDescent="0.25">
      <c r="BA541"/>
    </row>
    <row r="542" spans="53:53" x14ac:dyDescent="0.25">
      <c r="BA542"/>
    </row>
    <row r="543" spans="53:53" x14ac:dyDescent="0.25">
      <c r="BA543"/>
    </row>
    <row r="544" spans="53:53" x14ac:dyDescent="0.25">
      <c r="BA544"/>
    </row>
    <row r="545" spans="53:53" x14ac:dyDescent="0.25">
      <c r="BA545"/>
    </row>
    <row r="546" spans="53:53" x14ac:dyDescent="0.25">
      <c r="BA546"/>
    </row>
    <row r="547" spans="53:53" x14ac:dyDescent="0.25">
      <c r="BA547"/>
    </row>
    <row r="548" spans="53:53" x14ac:dyDescent="0.25">
      <c r="BA548"/>
    </row>
    <row r="549" spans="53:53" x14ac:dyDescent="0.25">
      <c r="BA549"/>
    </row>
    <row r="550" spans="53:53" x14ac:dyDescent="0.25">
      <c r="BA550"/>
    </row>
    <row r="551" spans="53:53" x14ac:dyDescent="0.25">
      <c r="BA551"/>
    </row>
    <row r="552" spans="53:53" x14ac:dyDescent="0.25">
      <c r="BA552"/>
    </row>
    <row r="553" spans="53:53" x14ac:dyDescent="0.25">
      <c r="BA553"/>
    </row>
    <row r="554" spans="53:53" x14ac:dyDescent="0.25">
      <c r="BA554"/>
    </row>
    <row r="555" spans="53:53" x14ac:dyDescent="0.25">
      <c r="BA555"/>
    </row>
    <row r="556" spans="53:53" x14ac:dyDescent="0.25">
      <c r="BA556"/>
    </row>
    <row r="557" spans="53:53" x14ac:dyDescent="0.25">
      <c r="BA557"/>
    </row>
    <row r="558" spans="53:53" x14ac:dyDescent="0.25">
      <c r="BA558"/>
    </row>
    <row r="559" spans="53:53" x14ac:dyDescent="0.25">
      <c r="BA559"/>
    </row>
    <row r="560" spans="53:53" x14ac:dyDescent="0.25">
      <c r="BA560"/>
    </row>
    <row r="561" spans="53:53" x14ac:dyDescent="0.25">
      <c r="BA561"/>
    </row>
    <row r="562" spans="53:53" x14ac:dyDescent="0.25">
      <c r="BA562"/>
    </row>
    <row r="563" spans="53:53" x14ac:dyDescent="0.25">
      <c r="BA563"/>
    </row>
    <row r="564" spans="53:53" x14ac:dyDescent="0.25">
      <c r="BA564"/>
    </row>
    <row r="565" spans="53:53" x14ac:dyDescent="0.25">
      <c r="BA565"/>
    </row>
    <row r="566" spans="53:53" x14ac:dyDescent="0.25">
      <c r="BA566"/>
    </row>
    <row r="567" spans="53:53" x14ac:dyDescent="0.25">
      <c r="BA567"/>
    </row>
    <row r="568" spans="53:53" x14ac:dyDescent="0.25">
      <c r="BA568"/>
    </row>
    <row r="569" spans="53:53" x14ac:dyDescent="0.25">
      <c r="BA569"/>
    </row>
    <row r="570" spans="53:53" x14ac:dyDescent="0.25">
      <c r="BA570"/>
    </row>
    <row r="571" spans="53:53" x14ac:dyDescent="0.25">
      <c r="BA571"/>
    </row>
    <row r="572" spans="53:53" x14ac:dyDescent="0.25">
      <c r="BA572"/>
    </row>
    <row r="573" spans="53:53" x14ac:dyDescent="0.25">
      <c r="BA573"/>
    </row>
    <row r="574" spans="53:53" x14ac:dyDescent="0.25">
      <c r="BA574"/>
    </row>
    <row r="575" spans="53:53" x14ac:dyDescent="0.25">
      <c r="BA575"/>
    </row>
    <row r="576" spans="53:53" x14ac:dyDescent="0.25">
      <c r="BA576"/>
    </row>
    <row r="577" spans="53:53" x14ac:dyDescent="0.25">
      <c r="BA577"/>
    </row>
    <row r="578" spans="53:53" x14ac:dyDescent="0.25">
      <c r="BA578"/>
    </row>
    <row r="579" spans="53:53" x14ac:dyDescent="0.25">
      <c r="BA579"/>
    </row>
    <row r="580" spans="53:53" x14ac:dyDescent="0.25">
      <c r="BA580"/>
    </row>
    <row r="581" spans="53:53" x14ac:dyDescent="0.25">
      <c r="BA581"/>
    </row>
    <row r="582" spans="53:53" x14ac:dyDescent="0.25">
      <c r="BA582"/>
    </row>
    <row r="583" spans="53:53" x14ac:dyDescent="0.25">
      <c r="BA583"/>
    </row>
    <row r="584" spans="53:53" x14ac:dyDescent="0.25">
      <c r="BA584"/>
    </row>
    <row r="585" spans="53:53" x14ac:dyDescent="0.25">
      <c r="BA585"/>
    </row>
    <row r="586" spans="53:53" x14ac:dyDescent="0.25">
      <c r="BA586"/>
    </row>
    <row r="587" spans="53:53" x14ac:dyDescent="0.25">
      <c r="BA587"/>
    </row>
    <row r="588" spans="53:53" x14ac:dyDescent="0.25">
      <c r="BA588"/>
    </row>
    <row r="589" spans="53:53" x14ac:dyDescent="0.25">
      <c r="BA589"/>
    </row>
    <row r="590" spans="53:53" x14ac:dyDescent="0.25">
      <c r="BA590"/>
    </row>
    <row r="591" spans="53:53" x14ac:dyDescent="0.25">
      <c r="BA591"/>
    </row>
    <row r="592" spans="53:53" x14ac:dyDescent="0.25">
      <c r="BA592"/>
    </row>
    <row r="593" spans="53:53" x14ac:dyDescent="0.25">
      <c r="BA593"/>
    </row>
    <row r="594" spans="53:53" x14ac:dyDescent="0.25">
      <c r="BA594"/>
    </row>
    <row r="595" spans="53:53" x14ac:dyDescent="0.25">
      <c r="BA595"/>
    </row>
    <row r="596" spans="53:53" x14ac:dyDescent="0.25">
      <c r="BA596"/>
    </row>
    <row r="597" spans="53:53" x14ac:dyDescent="0.25">
      <c r="BA597"/>
    </row>
    <row r="598" spans="53:53" x14ac:dyDescent="0.25">
      <c r="BA598"/>
    </row>
    <row r="599" spans="53:53" x14ac:dyDescent="0.25">
      <c r="BA599"/>
    </row>
    <row r="600" spans="53:53" x14ac:dyDescent="0.25">
      <c r="BA600"/>
    </row>
    <row r="601" spans="53:53" x14ac:dyDescent="0.25">
      <c r="BA601"/>
    </row>
    <row r="602" spans="53:53" x14ac:dyDescent="0.25">
      <c r="BA602"/>
    </row>
    <row r="603" spans="53:53" x14ac:dyDescent="0.25">
      <c r="BA603"/>
    </row>
    <row r="604" spans="53:53" x14ac:dyDescent="0.25">
      <c r="BA604"/>
    </row>
    <row r="605" spans="53:53" x14ac:dyDescent="0.25">
      <c r="BA605"/>
    </row>
    <row r="606" spans="53:53" x14ac:dyDescent="0.25">
      <c r="BA606"/>
    </row>
    <row r="607" spans="53:53" x14ac:dyDescent="0.25">
      <c r="BA607"/>
    </row>
    <row r="608" spans="53:53" x14ac:dyDescent="0.25">
      <c r="BA608"/>
    </row>
    <row r="609" spans="53:53" x14ac:dyDescent="0.25">
      <c r="BA609"/>
    </row>
    <row r="610" spans="53:53" x14ac:dyDescent="0.25">
      <c r="BA610"/>
    </row>
    <row r="611" spans="53:53" x14ac:dyDescent="0.25">
      <c r="BA611"/>
    </row>
    <row r="612" spans="53:53" x14ac:dyDescent="0.25">
      <c r="BA612"/>
    </row>
    <row r="613" spans="53:53" x14ac:dyDescent="0.25">
      <c r="BA613"/>
    </row>
    <row r="614" spans="53:53" x14ac:dyDescent="0.25">
      <c r="BA614"/>
    </row>
    <row r="615" spans="53:53" x14ac:dyDescent="0.25">
      <c r="BA615"/>
    </row>
    <row r="616" spans="53:53" x14ac:dyDescent="0.25">
      <c r="BA616"/>
    </row>
    <row r="617" spans="53:53" x14ac:dyDescent="0.25">
      <c r="BA617"/>
    </row>
    <row r="618" spans="53:53" x14ac:dyDescent="0.25">
      <c r="BA618"/>
    </row>
    <row r="619" spans="53:53" x14ac:dyDescent="0.25">
      <c r="BA619"/>
    </row>
    <row r="620" spans="53:53" x14ac:dyDescent="0.25">
      <c r="BA620"/>
    </row>
    <row r="621" spans="53:53" x14ac:dyDescent="0.25">
      <c r="BA621"/>
    </row>
    <row r="622" spans="53:53" x14ac:dyDescent="0.25">
      <c r="BA622"/>
    </row>
    <row r="623" spans="53:53" x14ac:dyDescent="0.25">
      <c r="BA623"/>
    </row>
    <row r="624" spans="53:53" x14ac:dyDescent="0.25">
      <c r="BA624"/>
    </row>
    <row r="625" spans="53:53" x14ac:dyDescent="0.25">
      <c r="BA625"/>
    </row>
    <row r="626" spans="53:53" x14ac:dyDescent="0.25">
      <c r="BA626"/>
    </row>
    <row r="627" spans="53:53" x14ac:dyDescent="0.25">
      <c r="BA627"/>
    </row>
    <row r="628" spans="53:53" x14ac:dyDescent="0.25">
      <c r="BA628"/>
    </row>
    <row r="629" spans="53:53" x14ac:dyDescent="0.25">
      <c r="BA629"/>
    </row>
    <row r="630" spans="53:53" x14ac:dyDescent="0.25">
      <c r="BA630"/>
    </row>
    <row r="631" spans="53:53" x14ac:dyDescent="0.25">
      <c r="BA631"/>
    </row>
    <row r="632" spans="53:53" x14ac:dyDescent="0.25">
      <c r="BA632"/>
    </row>
    <row r="633" spans="53:53" x14ac:dyDescent="0.25">
      <c r="BA633"/>
    </row>
    <row r="634" spans="53:53" x14ac:dyDescent="0.25">
      <c r="BA634"/>
    </row>
    <row r="635" spans="53:53" x14ac:dyDescent="0.25">
      <c r="BA635"/>
    </row>
    <row r="636" spans="53:53" x14ac:dyDescent="0.25">
      <c r="BA636"/>
    </row>
    <row r="637" spans="53:53" x14ac:dyDescent="0.25">
      <c r="BA637"/>
    </row>
    <row r="638" spans="53:53" x14ac:dyDescent="0.25">
      <c r="BA638"/>
    </row>
    <row r="639" spans="53:53" x14ac:dyDescent="0.25">
      <c r="BA639"/>
    </row>
    <row r="640" spans="53:53" x14ac:dyDescent="0.25">
      <c r="BA640"/>
    </row>
    <row r="641" spans="53:53" x14ac:dyDescent="0.25">
      <c r="BA641"/>
    </row>
    <row r="642" spans="53:53" x14ac:dyDescent="0.25">
      <c r="BA642"/>
    </row>
    <row r="643" spans="53:53" x14ac:dyDescent="0.25">
      <c r="BA643"/>
    </row>
    <row r="644" spans="53:53" x14ac:dyDescent="0.25">
      <c r="BA644"/>
    </row>
    <row r="645" spans="53:53" x14ac:dyDescent="0.25">
      <c r="BA645"/>
    </row>
    <row r="646" spans="53:53" x14ac:dyDescent="0.25">
      <c r="BA646"/>
    </row>
    <row r="647" spans="53:53" x14ac:dyDescent="0.25">
      <c r="BA647"/>
    </row>
    <row r="648" spans="53:53" x14ac:dyDescent="0.25">
      <c r="BA648"/>
    </row>
    <row r="649" spans="53:53" x14ac:dyDescent="0.25">
      <c r="BA649"/>
    </row>
    <row r="650" spans="53:53" x14ac:dyDescent="0.25">
      <c r="BA650"/>
    </row>
    <row r="651" spans="53:53" x14ac:dyDescent="0.25">
      <c r="BA651"/>
    </row>
    <row r="652" spans="53:53" x14ac:dyDescent="0.25">
      <c r="BA652"/>
    </row>
    <row r="653" spans="53:53" x14ac:dyDescent="0.25">
      <c r="BA653"/>
    </row>
    <row r="654" spans="53:53" x14ac:dyDescent="0.25">
      <c r="BA654"/>
    </row>
    <row r="655" spans="53:53" x14ac:dyDescent="0.25">
      <c r="BA655"/>
    </row>
    <row r="656" spans="53:53" x14ac:dyDescent="0.25">
      <c r="BA656"/>
    </row>
    <row r="657" spans="53:53" x14ac:dyDescent="0.25">
      <c r="BA657"/>
    </row>
    <row r="658" spans="53:53" x14ac:dyDescent="0.25">
      <c r="BA658"/>
    </row>
    <row r="659" spans="53:53" x14ac:dyDescent="0.25">
      <c r="BA659"/>
    </row>
    <row r="660" spans="53:53" x14ac:dyDescent="0.25">
      <c r="BA660"/>
    </row>
    <row r="661" spans="53:53" x14ac:dyDescent="0.25">
      <c r="BA661"/>
    </row>
    <row r="662" spans="53:53" x14ac:dyDescent="0.25">
      <c r="BA662"/>
    </row>
    <row r="663" spans="53:53" x14ac:dyDescent="0.25">
      <c r="BA663"/>
    </row>
    <row r="664" spans="53:53" x14ac:dyDescent="0.25">
      <c r="BA664"/>
    </row>
    <row r="665" spans="53:53" x14ac:dyDescent="0.25">
      <c r="BA665"/>
    </row>
    <row r="666" spans="53:53" x14ac:dyDescent="0.25">
      <c r="BA666"/>
    </row>
    <row r="667" spans="53:53" x14ac:dyDescent="0.25">
      <c r="BA667"/>
    </row>
    <row r="668" spans="53:53" x14ac:dyDescent="0.25">
      <c r="BA668"/>
    </row>
    <row r="669" spans="53:53" x14ac:dyDescent="0.25">
      <c r="BA669"/>
    </row>
    <row r="670" spans="53:53" x14ac:dyDescent="0.25">
      <c r="BA670"/>
    </row>
    <row r="671" spans="53:53" x14ac:dyDescent="0.25">
      <c r="BA671"/>
    </row>
    <row r="672" spans="53:53" x14ac:dyDescent="0.25">
      <c r="BA672"/>
    </row>
    <row r="673" spans="53:53" x14ac:dyDescent="0.25">
      <c r="BA673"/>
    </row>
    <row r="674" spans="53:53" x14ac:dyDescent="0.25">
      <c r="BA674"/>
    </row>
    <row r="675" spans="53:53" x14ac:dyDescent="0.25">
      <c r="BA675"/>
    </row>
    <row r="676" spans="53:53" x14ac:dyDescent="0.25">
      <c r="BA676"/>
    </row>
    <row r="677" spans="53:53" x14ac:dyDescent="0.25">
      <c r="BA677"/>
    </row>
    <row r="678" spans="53:53" x14ac:dyDescent="0.25">
      <c r="BA678"/>
    </row>
    <row r="679" spans="53:53" x14ac:dyDescent="0.25">
      <c r="BA679"/>
    </row>
    <row r="680" spans="53:53" x14ac:dyDescent="0.25">
      <c r="BA680"/>
    </row>
    <row r="681" spans="53:53" x14ac:dyDescent="0.25">
      <c r="BA681"/>
    </row>
    <row r="682" spans="53:53" x14ac:dyDescent="0.25">
      <c r="BA682"/>
    </row>
    <row r="683" spans="53:53" x14ac:dyDescent="0.25">
      <c r="BA683"/>
    </row>
    <row r="684" spans="53:53" x14ac:dyDescent="0.25">
      <c r="BA684"/>
    </row>
    <row r="685" spans="53:53" x14ac:dyDescent="0.25">
      <c r="BA685"/>
    </row>
    <row r="686" spans="53:53" x14ac:dyDescent="0.25">
      <c r="BA686"/>
    </row>
    <row r="687" spans="53:53" x14ac:dyDescent="0.25">
      <c r="BA687"/>
    </row>
    <row r="688" spans="53:53" x14ac:dyDescent="0.25">
      <c r="BA688"/>
    </row>
    <row r="689" spans="53:53" x14ac:dyDescent="0.25">
      <c r="BA689"/>
    </row>
    <row r="690" spans="53:53" x14ac:dyDescent="0.25">
      <c r="BA690"/>
    </row>
    <row r="691" spans="53:53" x14ac:dyDescent="0.25">
      <c r="BA691"/>
    </row>
    <row r="692" spans="53:53" x14ac:dyDescent="0.25">
      <c r="BA692"/>
    </row>
    <row r="693" spans="53:53" x14ac:dyDescent="0.25">
      <c r="BA693"/>
    </row>
    <row r="694" spans="53:53" x14ac:dyDescent="0.25">
      <c r="BA694"/>
    </row>
    <row r="695" spans="53:53" x14ac:dyDescent="0.25">
      <c r="BA695"/>
    </row>
    <row r="696" spans="53:53" x14ac:dyDescent="0.25">
      <c r="BA696"/>
    </row>
    <row r="697" spans="53:53" x14ac:dyDescent="0.25">
      <c r="BA697"/>
    </row>
    <row r="698" spans="53:53" x14ac:dyDescent="0.25">
      <c r="BA698"/>
    </row>
    <row r="699" spans="53:53" x14ac:dyDescent="0.25">
      <c r="BA699"/>
    </row>
    <row r="700" spans="53:53" x14ac:dyDescent="0.25">
      <c r="BA700"/>
    </row>
    <row r="701" spans="53:53" x14ac:dyDescent="0.25">
      <c r="BA701"/>
    </row>
    <row r="702" spans="53:53" x14ac:dyDescent="0.25">
      <c r="BA702"/>
    </row>
    <row r="703" spans="53:53" x14ac:dyDescent="0.25">
      <c r="BA703"/>
    </row>
    <row r="704" spans="53:53" x14ac:dyDescent="0.25">
      <c r="BA704"/>
    </row>
    <row r="705" spans="53:53" x14ac:dyDescent="0.25">
      <c r="BA705"/>
    </row>
    <row r="706" spans="53:53" x14ac:dyDescent="0.25">
      <c r="BA706"/>
    </row>
    <row r="707" spans="53:53" x14ac:dyDescent="0.25">
      <c r="BA707"/>
    </row>
    <row r="708" spans="53:53" x14ac:dyDescent="0.25">
      <c r="BA708"/>
    </row>
    <row r="709" spans="53:53" x14ac:dyDescent="0.25">
      <c r="BA709"/>
    </row>
    <row r="710" spans="53:53" x14ac:dyDescent="0.25">
      <c r="BA710"/>
    </row>
    <row r="711" spans="53:53" x14ac:dyDescent="0.25">
      <c r="BA711"/>
    </row>
    <row r="712" spans="53:53" x14ac:dyDescent="0.25">
      <c r="BA712"/>
    </row>
    <row r="713" spans="53:53" x14ac:dyDescent="0.25">
      <c r="BA713"/>
    </row>
    <row r="714" spans="53:53" x14ac:dyDescent="0.25">
      <c r="BA714"/>
    </row>
    <row r="715" spans="53:53" x14ac:dyDescent="0.25">
      <c r="BA715"/>
    </row>
    <row r="716" spans="53:53" x14ac:dyDescent="0.25">
      <c r="BA716"/>
    </row>
    <row r="717" spans="53:53" x14ac:dyDescent="0.25">
      <c r="BA717"/>
    </row>
    <row r="718" spans="53:53" x14ac:dyDescent="0.25">
      <c r="BA718"/>
    </row>
    <row r="719" spans="53:53" x14ac:dyDescent="0.25">
      <c r="BA719"/>
    </row>
    <row r="720" spans="53:53" x14ac:dyDescent="0.25">
      <c r="BA720"/>
    </row>
    <row r="721" spans="53:53" x14ac:dyDescent="0.25">
      <c r="BA721"/>
    </row>
    <row r="722" spans="53:53" x14ac:dyDescent="0.25">
      <c r="BA722"/>
    </row>
    <row r="723" spans="53:53" x14ac:dyDescent="0.25">
      <c r="BA723"/>
    </row>
    <row r="724" spans="53:53" x14ac:dyDescent="0.25">
      <c r="BA724"/>
    </row>
    <row r="725" spans="53:53" x14ac:dyDescent="0.25">
      <c r="BA725"/>
    </row>
    <row r="726" spans="53:53" x14ac:dyDescent="0.25">
      <c r="BA726"/>
    </row>
    <row r="727" spans="53:53" x14ac:dyDescent="0.25">
      <c r="BA727"/>
    </row>
    <row r="728" spans="53:53" x14ac:dyDescent="0.25">
      <c r="BA728"/>
    </row>
    <row r="729" spans="53:53" x14ac:dyDescent="0.25">
      <c r="BA729"/>
    </row>
    <row r="730" spans="53:53" x14ac:dyDescent="0.25">
      <c r="BA730"/>
    </row>
    <row r="731" spans="53:53" x14ac:dyDescent="0.25">
      <c r="BA731"/>
    </row>
    <row r="732" spans="53:53" x14ac:dyDescent="0.25">
      <c r="BA732"/>
    </row>
    <row r="733" spans="53:53" x14ac:dyDescent="0.25">
      <c r="BA733"/>
    </row>
    <row r="734" spans="53:53" x14ac:dyDescent="0.25">
      <c r="BA734"/>
    </row>
    <row r="735" spans="53:53" x14ac:dyDescent="0.25">
      <c r="BA735"/>
    </row>
    <row r="736" spans="53:53" x14ac:dyDescent="0.25">
      <c r="BA736"/>
    </row>
    <row r="737" spans="53:53" x14ac:dyDescent="0.25">
      <c r="BA737"/>
    </row>
    <row r="738" spans="53:53" x14ac:dyDescent="0.25">
      <c r="BA738"/>
    </row>
    <row r="739" spans="53:53" x14ac:dyDescent="0.25">
      <c r="BA739"/>
    </row>
    <row r="740" spans="53:53" x14ac:dyDescent="0.25">
      <c r="BA740"/>
    </row>
    <row r="741" spans="53:53" x14ac:dyDescent="0.25">
      <c r="BA741"/>
    </row>
    <row r="742" spans="53:53" x14ac:dyDescent="0.25">
      <c r="BA742"/>
    </row>
    <row r="743" spans="53:53" x14ac:dyDescent="0.25">
      <c r="BA743"/>
    </row>
    <row r="744" spans="53:53" x14ac:dyDescent="0.25">
      <c r="BA744"/>
    </row>
    <row r="745" spans="53:53" x14ac:dyDescent="0.25">
      <c r="BA745"/>
    </row>
    <row r="746" spans="53:53" x14ac:dyDescent="0.25">
      <c r="BA746"/>
    </row>
    <row r="747" spans="53:53" x14ac:dyDescent="0.25">
      <c r="BA747"/>
    </row>
    <row r="748" spans="53:53" x14ac:dyDescent="0.25">
      <c r="BA748"/>
    </row>
    <row r="749" spans="53:53" x14ac:dyDescent="0.25">
      <c r="BA749"/>
    </row>
    <row r="750" spans="53:53" x14ac:dyDescent="0.25">
      <c r="BA750"/>
    </row>
    <row r="751" spans="53:53" x14ac:dyDescent="0.25">
      <c r="BA751"/>
    </row>
    <row r="752" spans="53:53" x14ac:dyDescent="0.25">
      <c r="BA752"/>
    </row>
    <row r="753" spans="53:53" x14ac:dyDescent="0.25">
      <c r="BA753"/>
    </row>
    <row r="754" spans="53:53" x14ac:dyDescent="0.25">
      <c r="BA754"/>
    </row>
    <row r="755" spans="53:53" x14ac:dyDescent="0.25">
      <c r="BA755"/>
    </row>
    <row r="756" spans="53:53" x14ac:dyDescent="0.25">
      <c r="BA756"/>
    </row>
    <row r="757" spans="53:53" x14ac:dyDescent="0.25">
      <c r="BA757"/>
    </row>
    <row r="758" spans="53:53" x14ac:dyDescent="0.25">
      <c r="BA758"/>
    </row>
    <row r="759" spans="53:53" x14ac:dyDescent="0.25">
      <c r="BA759"/>
    </row>
    <row r="760" spans="53:53" x14ac:dyDescent="0.25">
      <c r="BA760"/>
    </row>
    <row r="761" spans="53:53" x14ac:dyDescent="0.25">
      <c r="BA761"/>
    </row>
    <row r="762" spans="53:53" x14ac:dyDescent="0.25">
      <c r="BA762"/>
    </row>
    <row r="763" spans="53:53" x14ac:dyDescent="0.25">
      <c r="BA763"/>
    </row>
    <row r="764" spans="53:53" x14ac:dyDescent="0.25">
      <c r="BA764"/>
    </row>
    <row r="765" spans="53:53" x14ac:dyDescent="0.25">
      <c r="BA765"/>
    </row>
    <row r="766" spans="53:53" x14ac:dyDescent="0.25">
      <c r="BA766"/>
    </row>
    <row r="767" spans="53:53" x14ac:dyDescent="0.25">
      <c r="BA767"/>
    </row>
    <row r="768" spans="53:53" x14ac:dyDescent="0.25">
      <c r="BA768"/>
    </row>
    <row r="769" spans="53:53" x14ac:dyDescent="0.25">
      <c r="BA769"/>
    </row>
    <row r="770" spans="53:53" x14ac:dyDescent="0.25">
      <c r="BA770"/>
    </row>
    <row r="771" spans="53:53" x14ac:dyDescent="0.25">
      <c r="BA771"/>
    </row>
    <row r="772" spans="53:53" x14ac:dyDescent="0.25">
      <c r="BA772"/>
    </row>
    <row r="773" spans="53:53" x14ac:dyDescent="0.25">
      <c r="BA773"/>
    </row>
    <row r="774" spans="53:53" x14ac:dyDescent="0.25">
      <c r="BA774"/>
    </row>
    <row r="775" spans="53:53" x14ac:dyDescent="0.25">
      <c r="BA775"/>
    </row>
    <row r="776" spans="53:53" x14ac:dyDescent="0.25">
      <c r="BA776"/>
    </row>
    <row r="777" spans="53:53" x14ac:dyDescent="0.25">
      <c r="BA777"/>
    </row>
    <row r="778" spans="53:53" x14ac:dyDescent="0.25">
      <c r="BA778"/>
    </row>
    <row r="779" spans="53:53" x14ac:dyDescent="0.25">
      <c r="BA779"/>
    </row>
    <row r="780" spans="53:53" x14ac:dyDescent="0.25">
      <c r="BA780"/>
    </row>
    <row r="781" spans="53:53" x14ac:dyDescent="0.25">
      <c r="BA781"/>
    </row>
    <row r="782" spans="53:53" x14ac:dyDescent="0.25">
      <c r="BA782"/>
    </row>
    <row r="783" spans="53:53" x14ac:dyDescent="0.25">
      <c r="BA783"/>
    </row>
    <row r="784" spans="53:53" x14ac:dyDescent="0.25">
      <c r="BA784"/>
    </row>
    <row r="785" spans="53:53" x14ac:dyDescent="0.25">
      <c r="BA785"/>
    </row>
    <row r="786" spans="53:53" x14ac:dyDescent="0.25">
      <c r="BA786"/>
    </row>
    <row r="787" spans="53:53" x14ac:dyDescent="0.25">
      <c r="BA787"/>
    </row>
    <row r="788" spans="53:53" x14ac:dyDescent="0.25">
      <c r="BA788"/>
    </row>
    <row r="789" spans="53:53" x14ac:dyDescent="0.25">
      <c r="BA789"/>
    </row>
    <row r="790" spans="53:53" x14ac:dyDescent="0.25">
      <c r="BA790"/>
    </row>
    <row r="791" spans="53:53" x14ac:dyDescent="0.25">
      <c r="BA791"/>
    </row>
    <row r="792" spans="53:53" x14ac:dyDescent="0.25">
      <c r="BA792"/>
    </row>
    <row r="793" spans="53:53" x14ac:dyDescent="0.25">
      <c r="BA793"/>
    </row>
    <row r="794" spans="53:53" x14ac:dyDescent="0.25">
      <c r="BA794"/>
    </row>
    <row r="795" spans="53:53" x14ac:dyDescent="0.25">
      <c r="BA795"/>
    </row>
    <row r="796" spans="53:53" x14ac:dyDescent="0.25">
      <c r="BA796"/>
    </row>
    <row r="797" spans="53:53" x14ac:dyDescent="0.25">
      <c r="BA797"/>
    </row>
    <row r="798" spans="53:53" x14ac:dyDescent="0.25">
      <c r="BA798"/>
    </row>
    <row r="799" spans="53:53" x14ac:dyDescent="0.25">
      <c r="BA799"/>
    </row>
    <row r="800" spans="53:53" x14ac:dyDescent="0.25">
      <c r="BA800"/>
    </row>
    <row r="801" spans="53:53" x14ac:dyDescent="0.25">
      <c r="BA801"/>
    </row>
    <row r="802" spans="53:53" x14ac:dyDescent="0.25">
      <c r="BA802"/>
    </row>
    <row r="803" spans="53:53" x14ac:dyDescent="0.25">
      <c r="BA803"/>
    </row>
    <row r="804" spans="53:53" x14ac:dyDescent="0.25">
      <c r="BA804"/>
    </row>
    <row r="805" spans="53:53" x14ac:dyDescent="0.25">
      <c r="BA805"/>
    </row>
    <row r="806" spans="53:53" x14ac:dyDescent="0.25">
      <c r="BA806"/>
    </row>
    <row r="807" spans="53:53" x14ac:dyDescent="0.25">
      <c r="BA807"/>
    </row>
    <row r="808" spans="53:53" x14ac:dyDescent="0.25">
      <c r="BA808"/>
    </row>
    <row r="809" spans="53:53" x14ac:dyDescent="0.25">
      <c r="BA809"/>
    </row>
    <row r="810" spans="53:53" x14ac:dyDescent="0.25">
      <c r="BA810"/>
    </row>
    <row r="811" spans="53:53" x14ac:dyDescent="0.25">
      <c r="BA811"/>
    </row>
    <row r="812" spans="53:53" x14ac:dyDescent="0.25">
      <c r="BA812"/>
    </row>
    <row r="813" spans="53:53" x14ac:dyDescent="0.25">
      <c r="BA813"/>
    </row>
    <row r="814" spans="53:53" x14ac:dyDescent="0.25">
      <c r="BA814"/>
    </row>
    <row r="815" spans="53:53" x14ac:dyDescent="0.25">
      <c r="BA815"/>
    </row>
    <row r="816" spans="53:53" x14ac:dyDescent="0.25">
      <c r="BA816"/>
    </row>
    <row r="817" spans="53:53" x14ac:dyDescent="0.25">
      <c r="BA817"/>
    </row>
    <row r="818" spans="53:53" x14ac:dyDescent="0.25">
      <c r="BA818"/>
    </row>
    <row r="819" spans="53:53" x14ac:dyDescent="0.25">
      <c r="BA819"/>
    </row>
    <row r="820" spans="53:53" x14ac:dyDescent="0.25">
      <c r="BA820"/>
    </row>
    <row r="821" spans="53:53" x14ac:dyDescent="0.25">
      <c r="BA821"/>
    </row>
    <row r="822" spans="53:53" x14ac:dyDescent="0.25">
      <c r="BA822"/>
    </row>
    <row r="823" spans="53:53" x14ac:dyDescent="0.25">
      <c r="BA823"/>
    </row>
    <row r="824" spans="53:53" x14ac:dyDescent="0.25">
      <c r="BA824"/>
    </row>
    <row r="825" spans="53:53" x14ac:dyDescent="0.25">
      <c r="BA825"/>
    </row>
    <row r="826" spans="53:53" x14ac:dyDescent="0.25">
      <c r="BA826"/>
    </row>
    <row r="827" spans="53:53" x14ac:dyDescent="0.25">
      <c r="BA827"/>
    </row>
    <row r="828" spans="53:53" x14ac:dyDescent="0.25">
      <c r="BA828"/>
    </row>
    <row r="829" spans="53:53" x14ac:dyDescent="0.25">
      <c r="BA829"/>
    </row>
    <row r="830" spans="53:53" x14ac:dyDescent="0.25">
      <c r="BA830"/>
    </row>
    <row r="831" spans="53:53" x14ac:dyDescent="0.25">
      <c r="BA831"/>
    </row>
    <row r="832" spans="53:53" x14ac:dyDescent="0.25">
      <c r="BA832"/>
    </row>
    <row r="833" spans="53:53" x14ac:dyDescent="0.25">
      <c r="BA833"/>
    </row>
    <row r="834" spans="53:53" x14ac:dyDescent="0.25">
      <c r="BA834"/>
    </row>
    <row r="835" spans="53:53" x14ac:dyDescent="0.25">
      <c r="BA835"/>
    </row>
    <row r="836" spans="53:53" x14ac:dyDescent="0.25">
      <c r="BA836"/>
    </row>
    <row r="837" spans="53:53" x14ac:dyDescent="0.25">
      <c r="BA837"/>
    </row>
    <row r="838" spans="53:53" x14ac:dyDescent="0.25">
      <c r="BA838"/>
    </row>
    <row r="839" spans="53:53" x14ac:dyDescent="0.25">
      <c r="BA839"/>
    </row>
    <row r="840" spans="53:53" x14ac:dyDescent="0.25">
      <c r="BA840"/>
    </row>
    <row r="841" spans="53:53" x14ac:dyDescent="0.25">
      <c r="BA841"/>
    </row>
    <row r="842" spans="53:53" x14ac:dyDescent="0.25">
      <c r="BA842"/>
    </row>
    <row r="843" spans="53:53" x14ac:dyDescent="0.25">
      <c r="BA843"/>
    </row>
    <row r="844" spans="53:53" x14ac:dyDescent="0.25">
      <c r="BA844"/>
    </row>
    <row r="845" spans="53:53" x14ac:dyDescent="0.25">
      <c r="BA845"/>
    </row>
    <row r="846" spans="53:53" x14ac:dyDescent="0.25">
      <c r="BA846"/>
    </row>
    <row r="847" spans="53:53" x14ac:dyDescent="0.25">
      <c r="BA847"/>
    </row>
    <row r="848" spans="53:53" x14ac:dyDescent="0.25">
      <c r="BA848"/>
    </row>
    <row r="849" spans="53:53" x14ac:dyDescent="0.25">
      <c r="BA849"/>
    </row>
    <row r="850" spans="53:53" x14ac:dyDescent="0.25">
      <c r="BA850"/>
    </row>
    <row r="851" spans="53:53" x14ac:dyDescent="0.25">
      <c r="BA851"/>
    </row>
    <row r="852" spans="53:53" x14ac:dyDescent="0.25">
      <c r="BA852"/>
    </row>
    <row r="853" spans="53:53" x14ac:dyDescent="0.25">
      <c r="BA853"/>
    </row>
    <row r="854" spans="53:53" x14ac:dyDescent="0.25">
      <c r="BA854"/>
    </row>
    <row r="855" spans="53:53" x14ac:dyDescent="0.25">
      <c r="BA855"/>
    </row>
    <row r="856" spans="53:53" x14ac:dyDescent="0.25">
      <c r="BA856"/>
    </row>
    <row r="857" spans="53:53" x14ac:dyDescent="0.25">
      <c r="BA857"/>
    </row>
    <row r="858" spans="53:53" x14ac:dyDescent="0.25">
      <c r="BA858"/>
    </row>
    <row r="859" spans="53:53" x14ac:dyDescent="0.25">
      <c r="BA859"/>
    </row>
    <row r="860" spans="53:53" x14ac:dyDescent="0.25">
      <c r="BA860"/>
    </row>
    <row r="861" spans="53:53" x14ac:dyDescent="0.25">
      <c r="BA861"/>
    </row>
    <row r="862" spans="53:53" x14ac:dyDescent="0.25">
      <c r="BA862"/>
    </row>
    <row r="863" spans="53:53" x14ac:dyDescent="0.25">
      <c r="BA863"/>
    </row>
    <row r="864" spans="53:53" x14ac:dyDescent="0.25">
      <c r="BA864"/>
    </row>
    <row r="865" spans="53:53" x14ac:dyDescent="0.25">
      <c r="BA865"/>
    </row>
    <row r="866" spans="53:53" x14ac:dyDescent="0.25">
      <c r="BA866"/>
    </row>
    <row r="867" spans="53:53" x14ac:dyDescent="0.25">
      <c r="BA867"/>
    </row>
    <row r="868" spans="53:53" x14ac:dyDescent="0.25">
      <c r="BA868"/>
    </row>
    <row r="869" spans="53:53" x14ac:dyDescent="0.25">
      <c r="BA869"/>
    </row>
    <row r="870" spans="53:53" x14ac:dyDescent="0.25">
      <c r="BA870"/>
    </row>
    <row r="871" spans="53:53" x14ac:dyDescent="0.25">
      <c r="BA871"/>
    </row>
    <row r="872" spans="53:53" x14ac:dyDescent="0.25">
      <c r="BA872"/>
    </row>
    <row r="873" spans="53:53" x14ac:dyDescent="0.25">
      <c r="BA873"/>
    </row>
    <row r="874" spans="53:53" x14ac:dyDescent="0.25">
      <c r="BA874"/>
    </row>
    <row r="875" spans="53:53" x14ac:dyDescent="0.25">
      <c r="BA875"/>
    </row>
    <row r="876" spans="53:53" x14ac:dyDescent="0.25">
      <c r="BA876"/>
    </row>
    <row r="877" spans="53:53" x14ac:dyDescent="0.25">
      <c r="BA877"/>
    </row>
    <row r="878" spans="53:53" x14ac:dyDescent="0.25">
      <c r="BA878"/>
    </row>
    <row r="879" spans="53:53" x14ac:dyDescent="0.25">
      <c r="BA879"/>
    </row>
    <row r="880" spans="53:53" x14ac:dyDescent="0.25">
      <c r="BA880"/>
    </row>
    <row r="881" spans="53:53" x14ac:dyDescent="0.25">
      <c r="BA881"/>
    </row>
    <row r="882" spans="53:53" x14ac:dyDescent="0.25">
      <c r="BA882"/>
    </row>
    <row r="883" spans="53:53" x14ac:dyDescent="0.25">
      <c r="BA883"/>
    </row>
    <row r="884" spans="53:53" x14ac:dyDescent="0.25">
      <c r="BA884"/>
    </row>
    <row r="885" spans="53:53" x14ac:dyDescent="0.25">
      <c r="BA885"/>
    </row>
    <row r="886" spans="53:53" x14ac:dyDescent="0.25">
      <c r="BA886"/>
    </row>
    <row r="887" spans="53:53" x14ac:dyDescent="0.25">
      <c r="BA887"/>
    </row>
    <row r="888" spans="53:53" x14ac:dyDescent="0.25">
      <c r="BA888"/>
    </row>
    <row r="889" spans="53:53" x14ac:dyDescent="0.25">
      <c r="BA889"/>
    </row>
    <row r="890" spans="53:53" x14ac:dyDescent="0.25">
      <c r="BA890"/>
    </row>
    <row r="891" spans="53:53" x14ac:dyDescent="0.25">
      <c r="BA891"/>
    </row>
    <row r="892" spans="53:53" x14ac:dyDescent="0.25">
      <c r="BA892"/>
    </row>
    <row r="893" spans="53:53" x14ac:dyDescent="0.25">
      <c r="BA893"/>
    </row>
    <row r="894" spans="53:53" x14ac:dyDescent="0.25">
      <c r="BA894"/>
    </row>
    <row r="895" spans="53:53" x14ac:dyDescent="0.25">
      <c r="BA895"/>
    </row>
    <row r="896" spans="53:53" x14ac:dyDescent="0.25">
      <c r="BA896"/>
    </row>
    <row r="897" spans="53:53" x14ac:dyDescent="0.25">
      <c r="BA897"/>
    </row>
    <row r="898" spans="53:53" x14ac:dyDescent="0.25">
      <c r="BA898"/>
    </row>
    <row r="899" spans="53:53" x14ac:dyDescent="0.25">
      <c r="BA899"/>
    </row>
    <row r="900" spans="53:53" x14ac:dyDescent="0.25">
      <c r="BA900"/>
    </row>
    <row r="901" spans="53:53" x14ac:dyDescent="0.25">
      <c r="BA901"/>
    </row>
    <row r="902" spans="53:53" x14ac:dyDescent="0.25">
      <c r="BA902"/>
    </row>
    <row r="903" spans="53:53" x14ac:dyDescent="0.25">
      <c r="BA903"/>
    </row>
    <row r="904" spans="53:53" x14ac:dyDescent="0.25">
      <c r="BA904"/>
    </row>
    <row r="905" spans="53:53" x14ac:dyDescent="0.25">
      <c r="BA905"/>
    </row>
    <row r="906" spans="53:53" x14ac:dyDescent="0.25">
      <c r="BA906"/>
    </row>
    <row r="907" spans="53:53" x14ac:dyDescent="0.25">
      <c r="BA907"/>
    </row>
    <row r="908" spans="53:53" x14ac:dyDescent="0.25">
      <c r="BA908"/>
    </row>
    <row r="909" spans="53:53" x14ac:dyDescent="0.25">
      <c r="BA909"/>
    </row>
    <row r="910" spans="53:53" x14ac:dyDescent="0.25">
      <c r="BA910"/>
    </row>
    <row r="911" spans="53:53" x14ac:dyDescent="0.25">
      <c r="BA911"/>
    </row>
    <row r="912" spans="53:53" x14ac:dyDescent="0.25">
      <c r="BA912"/>
    </row>
    <row r="913" spans="53:53" x14ac:dyDescent="0.25">
      <c r="BA913"/>
    </row>
    <row r="914" spans="53:53" x14ac:dyDescent="0.25">
      <c r="BA914"/>
    </row>
    <row r="915" spans="53:53" x14ac:dyDescent="0.25">
      <c r="BA915"/>
    </row>
    <row r="916" spans="53:53" x14ac:dyDescent="0.25">
      <c r="BA916"/>
    </row>
    <row r="917" spans="53:53" x14ac:dyDescent="0.25">
      <c r="BA917"/>
    </row>
    <row r="918" spans="53:53" x14ac:dyDescent="0.25">
      <c r="BA918"/>
    </row>
    <row r="919" spans="53:53" x14ac:dyDescent="0.25">
      <c r="BA919"/>
    </row>
    <row r="920" spans="53:53" x14ac:dyDescent="0.25">
      <c r="BA920"/>
    </row>
    <row r="921" spans="53:53" x14ac:dyDescent="0.25">
      <c r="BA921"/>
    </row>
    <row r="922" spans="53:53" x14ac:dyDescent="0.25">
      <c r="BA922"/>
    </row>
    <row r="923" spans="53:53" x14ac:dyDescent="0.25">
      <c r="BA923"/>
    </row>
    <row r="924" spans="53:53" x14ac:dyDescent="0.25">
      <c r="BA924"/>
    </row>
    <row r="925" spans="53:53" x14ac:dyDescent="0.25">
      <c r="BA925"/>
    </row>
    <row r="926" spans="53:53" x14ac:dyDescent="0.25">
      <c r="BA926"/>
    </row>
    <row r="927" spans="53:53" x14ac:dyDescent="0.25">
      <c r="BA927"/>
    </row>
    <row r="928" spans="53:53" x14ac:dyDescent="0.25">
      <c r="BA928"/>
    </row>
    <row r="929" spans="53:53" x14ac:dyDescent="0.25">
      <c r="BA929"/>
    </row>
    <row r="930" spans="53:53" x14ac:dyDescent="0.25">
      <c r="BA930"/>
    </row>
    <row r="931" spans="53:53" x14ac:dyDescent="0.25">
      <c r="BA931"/>
    </row>
    <row r="932" spans="53:53" x14ac:dyDescent="0.25">
      <c r="BA932"/>
    </row>
    <row r="933" spans="53:53" x14ac:dyDescent="0.25">
      <c r="BA933"/>
    </row>
    <row r="934" spans="53:53" x14ac:dyDescent="0.25">
      <c r="BA934"/>
    </row>
    <row r="935" spans="53:53" x14ac:dyDescent="0.25">
      <c r="BA935"/>
    </row>
    <row r="936" spans="53:53" x14ac:dyDescent="0.25">
      <c r="BA936"/>
    </row>
    <row r="937" spans="53:53" x14ac:dyDescent="0.25">
      <c r="BA937"/>
    </row>
    <row r="938" spans="53:53" x14ac:dyDescent="0.25">
      <c r="BA938"/>
    </row>
    <row r="939" spans="53:53" x14ac:dyDescent="0.25">
      <c r="BA939"/>
    </row>
    <row r="940" spans="53:53" x14ac:dyDescent="0.25">
      <c r="BA940"/>
    </row>
    <row r="941" spans="53:53" x14ac:dyDescent="0.25">
      <c r="BA941"/>
    </row>
    <row r="942" spans="53:53" x14ac:dyDescent="0.25">
      <c r="BA942"/>
    </row>
    <row r="943" spans="53:53" x14ac:dyDescent="0.25">
      <c r="BA943"/>
    </row>
    <row r="944" spans="53:53" x14ac:dyDescent="0.25">
      <c r="BA944"/>
    </row>
    <row r="945" spans="53:53" x14ac:dyDescent="0.25">
      <c r="BA945"/>
    </row>
    <row r="946" spans="53:53" x14ac:dyDescent="0.25">
      <c r="BA946"/>
    </row>
    <row r="947" spans="53:53" x14ac:dyDescent="0.25">
      <c r="BA947"/>
    </row>
    <row r="948" spans="53:53" x14ac:dyDescent="0.25">
      <c r="BA948"/>
    </row>
    <row r="949" spans="53:53" x14ac:dyDescent="0.25">
      <c r="BA949"/>
    </row>
    <row r="950" spans="53:53" x14ac:dyDescent="0.25">
      <c r="BA950"/>
    </row>
    <row r="951" spans="53:53" x14ac:dyDescent="0.25">
      <c r="BA951"/>
    </row>
    <row r="952" spans="53:53" x14ac:dyDescent="0.25">
      <c r="BA952"/>
    </row>
    <row r="953" spans="53:53" x14ac:dyDescent="0.25">
      <c r="BA953"/>
    </row>
    <row r="954" spans="53:53" x14ac:dyDescent="0.25">
      <c r="BA954"/>
    </row>
    <row r="955" spans="53:53" x14ac:dyDescent="0.25">
      <c r="BA955"/>
    </row>
    <row r="956" spans="53:53" x14ac:dyDescent="0.25">
      <c r="BA956"/>
    </row>
    <row r="957" spans="53:53" x14ac:dyDescent="0.25">
      <c r="BA957"/>
    </row>
    <row r="958" spans="53:53" x14ac:dyDescent="0.25">
      <c r="BA958"/>
    </row>
    <row r="959" spans="53:53" x14ac:dyDescent="0.25">
      <c r="BA959"/>
    </row>
    <row r="960" spans="53:53" x14ac:dyDescent="0.25">
      <c r="BA960"/>
    </row>
    <row r="961" spans="53:53" x14ac:dyDescent="0.25">
      <c r="BA961"/>
    </row>
    <row r="962" spans="53:53" x14ac:dyDescent="0.25">
      <c r="BA962"/>
    </row>
    <row r="963" spans="53:53" x14ac:dyDescent="0.25">
      <c r="BA963"/>
    </row>
    <row r="964" spans="53:53" x14ac:dyDescent="0.25">
      <c r="BA964"/>
    </row>
    <row r="965" spans="53:53" x14ac:dyDescent="0.25">
      <c r="BA965"/>
    </row>
    <row r="966" spans="53:53" x14ac:dyDescent="0.25">
      <c r="BA966"/>
    </row>
    <row r="967" spans="53:53" x14ac:dyDescent="0.25">
      <c r="BA967"/>
    </row>
    <row r="968" spans="53:53" x14ac:dyDescent="0.25">
      <c r="BA968"/>
    </row>
    <row r="969" spans="53:53" x14ac:dyDescent="0.25">
      <c r="BA969"/>
    </row>
    <row r="970" spans="53:53" x14ac:dyDescent="0.25">
      <c r="BA970"/>
    </row>
    <row r="971" spans="53:53" x14ac:dyDescent="0.25">
      <c r="BA971"/>
    </row>
    <row r="972" spans="53:53" x14ac:dyDescent="0.25">
      <c r="BA972"/>
    </row>
    <row r="973" spans="53:53" x14ac:dyDescent="0.25">
      <c r="BA973"/>
    </row>
    <row r="974" spans="53:53" x14ac:dyDescent="0.25">
      <c r="BA974"/>
    </row>
    <row r="975" spans="53:53" x14ac:dyDescent="0.25">
      <c r="BA975"/>
    </row>
    <row r="976" spans="53:53" x14ac:dyDescent="0.25">
      <c r="BA976"/>
    </row>
    <row r="977" spans="53:53" x14ac:dyDescent="0.25">
      <c r="BA977"/>
    </row>
    <row r="978" spans="53:53" x14ac:dyDescent="0.25">
      <c r="BA978"/>
    </row>
    <row r="979" spans="53:53" x14ac:dyDescent="0.25">
      <c r="BA979"/>
    </row>
    <row r="980" spans="53:53" x14ac:dyDescent="0.25">
      <c r="BA980"/>
    </row>
    <row r="981" spans="53:53" x14ac:dyDescent="0.25">
      <c r="BA981"/>
    </row>
    <row r="982" spans="53:53" x14ac:dyDescent="0.25">
      <c r="BA982"/>
    </row>
    <row r="983" spans="53:53" x14ac:dyDescent="0.25">
      <c r="BA983"/>
    </row>
    <row r="984" spans="53:53" x14ac:dyDescent="0.25">
      <c r="BA984"/>
    </row>
    <row r="985" spans="53:53" x14ac:dyDescent="0.25">
      <c r="BA985"/>
    </row>
    <row r="986" spans="53:53" x14ac:dyDescent="0.25">
      <c r="BA986"/>
    </row>
    <row r="987" spans="53:53" x14ac:dyDescent="0.25">
      <c r="BA987"/>
    </row>
    <row r="988" spans="53:53" x14ac:dyDescent="0.25">
      <c r="BA988"/>
    </row>
    <row r="989" spans="53:53" x14ac:dyDescent="0.25">
      <c r="BA989"/>
    </row>
    <row r="990" spans="53:53" x14ac:dyDescent="0.25">
      <c r="BA990"/>
    </row>
    <row r="991" spans="53:53" x14ac:dyDescent="0.25">
      <c r="BA991"/>
    </row>
    <row r="992" spans="53:53" x14ac:dyDescent="0.25">
      <c r="BA992"/>
    </row>
    <row r="993" spans="53:53" x14ac:dyDescent="0.25">
      <c r="BA993"/>
    </row>
    <row r="994" spans="53:53" x14ac:dyDescent="0.25">
      <c r="BA994"/>
    </row>
    <row r="995" spans="53:53" x14ac:dyDescent="0.25">
      <c r="BA995"/>
    </row>
    <row r="996" spans="53:53" x14ac:dyDescent="0.25">
      <c r="BA996"/>
    </row>
    <row r="997" spans="53:53" x14ac:dyDescent="0.25">
      <c r="BA997"/>
    </row>
    <row r="998" spans="53:53" x14ac:dyDescent="0.25">
      <c r="BA998"/>
    </row>
    <row r="999" spans="53:53" x14ac:dyDescent="0.25">
      <c r="BA999"/>
    </row>
    <row r="1000" spans="53:53" x14ac:dyDescent="0.25">
      <c r="BA1000"/>
    </row>
    <row r="1001" spans="53:53" x14ac:dyDescent="0.25">
      <c r="BA1001"/>
    </row>
    <row r="1002" spans="53:53" x14ac:dyDescent="0.25">
      <c r="BA1002"/>
    </row>
    <row r="1003" spans="53:53" x14ac:dyDescent="0.25">
      <c r="BA1003"/>
    </row>
    <row r="1004" spans="53:53" x14ac:dyDescent="0.25">
      <c r="BA1004"/>
    </row>
    <row r="1005" spans="53:53" x14ac:dyDescent="0.25">
      <c r="BA1005"/>
    </row>
    <row r="1006" spans="53:53" x14ac:dyDescent="0.25">
      <c r="BA1006"/>
    </row>
    <row r="1007" spans="53:53" x14ac:dyDescent="0.25">
      <c r="BA1007"/>
    </row>
    <row r="1008" spans="53:53" x14ac:dyDescent="0.25">
      <c r="BA1008"/>
    </row>
    <row r="1009" spans="53:53" x14ac:dyDescent="0.25">
      <c r="BA1009"/>
    </row>
    <row r="1010" spans="53:53" x14ac:dyDescent="0.25">
      <c r="BA1010"/>
    </row>
    <row r="1011" spans="53:53" x14ac:dyDescent="0.25">
      <c r="BA1011"/>
    </row>
    <row r="1012" spans="53:53" x14ac:dyDescent="0.25">
      <c r="BA1012"/>
    </row>
    <row r="1013" spans="53:53" x14ac:dyDescent="0.25">
      <c r="BA1013"/>
    </row>
    <row r="1014" spans="53:53" x14ac:dyDescent="0.25">
      <c r="BA1014"/>
    </row>
    <row r="1015" spans="53:53" x14ac:dyDescent="0.25">
      <c r="BA1015"/>
    </row>
    <row r="1016" spans="53:53" x14ac:dyDescent="0.25">
      <c r="BA1016"/>
    </row>
    <row r="1017" spans="53:53" x14ac:dyDescent="0.25">
      <c r="BA1017"/>
    </row>
    <row r="1018" spans="53:53" x14ac:dyDescent="0.25">
      <c r="BA1018"/>
    </row>
    <row r="1019" spans="53:53" x14ac:dyDescent="0.25">
      <c r="BA1019"/>
    </row>
    <row r="1020" spans="53:53" x14ac:dyDescent="0.25">
      <c r="BA1020"/>
    </row>
    <row r="1021" spans="53:53" x14ac:dyDescent="0.25">
      <c r="BA1021"/>
    </row>
    <row r="1022" spans="53:53" x14ac:dyDescent="0.25">
      <c r="BA1022"/>
    </row>
    <row r="1023" spans="53:53" x14ac:dyDescent="0.25">
      <c r="BA1023"/>
    </row>
    <row r="1024" spans="53:53" x14ac:dyDescent="0.25">
      <c r="BA1024"/>
    </row>
    <row r="1025" spans="53:53" x14ac:dyDescent="0.25">
      <c r="BA1025"/>
    </row>
    <row r="1026" spans="53:53" x14ac:dyDescent="0.25">
      <c r="BA1026"/>
    </row>
    <row r="1027" spans="53:53" x14ac:dyDescent="0.25">
      <c r="BA1027"/>
    </row>
    <row r="1028" spans="53:53" x14ac:dyDescent="0.25">
      <c r="BA1028"/>
    </row>
    <row r="1029" spans="53:53" x14ac:dyDescent="0.25">
      <c r="BA1029"/>
    </row>
    <row r="1030" spans="53:53" x14ac:dyDescent="0.25">
      <c r="BA1030"/>
    </row>
    <row r="1031" spans="53:53" x14ac:dyDescent="0.25">
      <c r="BA1031"/>
    </row>
    <row r="1032" spans="53:53" x14ac:dyDescent="0.25">
      <c r="BA1032"/>
    </row>
    <row r="1033" spans="53:53" x14ac:dyDescent="0.25">
      <c r="BA1033"/>
    </row>
    <row r="1034" spans="53:53" x14ac:dyDescent="0.25">
      <c r="BA1034"/>
    </row>
    <row r="1035" spans="53:53" x14ac:dyDescent="0.25">
      <c r="BA1035"/>
    </row>
    <row r="1036" spans="53:53" x14ac:dyDescent="0.25">
      <c r="BA1036"/>
    </row>
    <row r="1037" spans="53:53" x14ac:dyDescent="0.25">
      <c r="BA1037"/>
    </row>
    <row r="1038" spans="53:53" x14ac:dyDescent="0.25">
      <c r="BA1038"/>
    </row>
    <row r="1039" spans="53:53" x14ac:dyDescent="0.25">
      <c r="BA1039"/>
    </row>
    <row r="1040" spans="53:53" x14ac:dyDescent="0.25">
      <c r="BA1040"/>
    </row>
    <row r="1041" spans="53:53" x14ac:dyDescent="0.25">
      <c r="BA1041"/>
    </row>
    <row r="1042" spans="53:53" x14ac:dyDescent="0.25">
      <c r="BA1042"/>
    </row>
    <row r="1043" spans="53:53" x14ac:dyDescent="0.25">
      <c r="BA1043"/>
    </row>
    <row r="1044" spans="53:53" x14ac:dyDescent="0.25">
      <c r="BA1044"/>
    </row>
    <row r="1045" spans="53:53" x14ac:dyDescent="0.25">
      <c r="BA1045"/>
    </row>
    <row r="1046" spans="53:53" x14ac:dyDescent="0.25">
      <c r="BA1046"/>
    </row>
    <row r="1047" spans="53:53" x14ac:dyDescent="0.25">
      <c r="BA1047"/>
    </row>
    <row r="1048" spans="53:53" x14ac:dyDescent="0.25">
      <c r="BA1048"/>
    </row>
    <row r="1049" spans="53:53" x14ac:dyDescent="0.25">
      <c r="BA1049"/>
    </row>
    <row r="1050" spans="53:53" x14ac:dyDescent="0.25">
      <c r="BA1050"/>
    </row>
    <row r="1051" spans="53:53" x14ac:dyDescent="0.25">
      <c r="BA1051"/>
    </row>
    <row r="1052" spans="53:53" x14ac:dyDescent="0.25">
      <c r="BA1052"/>
    </row>
    <row r="1053" spans="53:53" x14ac:dyDescent="0.25">
      <c r="BA1053"/>
    </row>
    <row r="1054" spans="53:53" x14ac:dyDescent="0.25">
      <c r="BA1054"/>
    </row>
    <row r="1055" spans="53:53" x14ac:dyDescent="0.25">
      <c r="BA1055"/>
    </row>
    <row r="1056" spans="53:53" x14ac:dyDescent="0.25">
      <c r="BA1056"/>
    </row>
    <row r="1057" spans="53:53" x14ac:dyDescent="0.25">
      <c r="BA1057"/>
    </row>
    <row r="1058" spans="53:53" x14ac:dyDescent="0.25">
      <c r="BA1058"/>
    </row>
    <row r="1059" spans="53:53" x14ac:dyDescent="0.25">
      <c r="BA1059"/>
    </row>
    <row r="1060" spans="53:53" x14ac:dyDescent="0.25">
      <c r="BA1060"/>
    </row>
    <row r="1061" spans="53:53" x14ac:dyDescent="0.25">
      <c r="BA1061"/>
    </row>
    <row r="1062" spans="53:53" x14ac:dyDescent="0.25">
      <c r="BA1062"/>
    </row>
    <row r="1063" spans="53:53" x14ac:dyDescent="0.25">
      <c r="BA1063"/>
    </row>
    <row r="1064" spans="53:53" x14ac:dyDescent="0.25">
      <c r="BA1064"/>
    </row>
    <row r="1065" spans="53:53" x14ac:dyDescent="0.25">
      <c r="BA1065"/>
    </row>
    <row r="1066" spans="53:53" x14ac:dyDescent="0.25">
      <c r="BA1066"/>
    </row>
    <row r="1067" spans="53:53" x14ac:dyDescent="0.25">
      <c r="BA1067"/>
    </row>
    <row r="1068" spans="53:53" x14ac:dyDescent="0.25">
      <c r="BA1068"/>
    </row>
    <row r="1069" spans="53:53" x14ac:dyDescent="0.25">
      <c r="BA1069"/>
    </row>
    <row r="1070" spans="53:53" x14ac:dyDescent="0.25">
      <c r="BA1070"/>
    </row>
    <row r="1071" spans="53:53" x14ac:dyDescent="0.25">
      <c r="BA1071"/>
    </row>
    <row r="1072" spans="53:53" x14ac:dyDescent="0.25">
      <c r="BA1072"/>
    </row>
    <row r="1073" spans="53:53" x14ac:dyDescent="0.25">
      <c r="BA1073"/>
    </row>
    <row r="1074" spans="53:53" x14ac:dyDescent="0.25">
      <c r="BA1074"/>
    </row>
    <row r="1075" spans="53:53" x14ac:dyDescent="0.25">
      <c r="BA1075"/>
    </row>
    <row r="1076" spans="53:53" x14ac:dyDescent="0.25">
      <c r="BA1076"/>
    </row>
    <row r="1077" spans="53:53" x14ac:dyDescent="0.25">
      <c r="BA1077"/>
    </row>
    <row r="1078" spans="53:53" x14ac:dyDescent="0.25">
      <c r="BA1078"/>
    </row>
    <row r="1079" spans="53:53" x14ac:dyDescent="0.25">
      <c r="BA1079"/>
    </row>
    <row r="1080" spans="53:53" x14ac:dyDescent="0.25">
      <c r="BA1080"/>
    </row>
    <row r="1081" spans="53:53" x14ac:dyDescent="0.25">
      <c r="BA1081"/>
    </row>
    <row r="1082" spans="53:53" x14ac:dyDescent="0.25">
      <c r="BA1082"/>
    </row>
    <row r="1083" spans="53:53" x14ac:dyDescent="0.25">
      <c r="BA1083"/>
    </row>
    <row r="1084" spans="53:53" x14ac:dyDescent="0.25">
      <c r="BA1084"/>
    </row>
    <row r="1085" spans="53:53" x14ac:dyDescent="0.25">
      <c r="BA1085"/>
    </row>
    <row r="1086" spans="53:53" x14ac:dyDescent="0.25">
      <c r="BA1086"/>
    </row>
    <row r="1087" spans="53:53" x14ac:dyDescent="0.25">
      <c r="BA1087"/>
    </row>
    <row r="1088" spans="53:53" x14ac:dyDescent="0.25">
      <c r="BA1088"/>
    </row>
    <row r="1089" spans="53:53" x14ac:dyDescent="0.25">
      <c r="BA1089"/>
    </row>
    <row r="1090" spans="53:53" x14ac:dyDescent="0.25">
      <c r="BA1090"/>
    </row>
    <row r="1091" spans="53:53" x14ac:dyDescent="0.25">
      <c r="BA1091"/>
    </row>
    <row r="1092" spans="53:53" x14ac:dyDescent="0.25">
      <c r="BA1092"/>
    </row>
    <row r="1093" spans="53:53" x14ac:dyDescent="0.25">
      <c r="BA1093"/>
    </row>
    <row r="1094" spans="53:53" x14ac:dyDescent="0.25">
      <c r="BA1094"/>
    </row>
    <row r="1095" spans="53:53" x14ac:dyDescent="0.25">
      <c r="BA1095"/>
    </row>
    <row r="1096" spans="53:53" x14ac:dyDescent="0.25">
      <c r="BA1096"/>
    </row>
    <row r="1097" spans="53:53" x14ac:dyDescent="0.25">
      <c r="BA1097"/>
    </row>
    <row r="1098" spans="53:53" x14ac:dyDescent="0.25">
      <c r="BA1098"/>
    </row>
    <row r="1099" spans="53:53" x14ac:dyDescent="0.25">
      <c r="BA1099"/>
    </row>
    <row r="1100" spans="53:53" x14ac:dyDescent="0.25">
      <c r="BA1100"/>
    </row>
    <row r="1101" spans="53:53" x14ac:dyDescent="0.25">
      <c r="BA1101"/>
    </row>
    <row r="1102" spans="53:53" x14ac:dyDescent="0.25">
      <c r="BA1102"/>
    </row>
    <row r="1103" spans="53:53" x14ac:dyDescent="0.25">
      <c r="BA1103"/>
    </row>
    <row r="1104" spans="53:53" x14ac:dyDescent="0.25">
      <c r="BA1104"/>
    </row>
    <row r="1105" spans="53:53" x14ac:dyDescent="0.25">
      <c r="BA1105"/>
    </row>
    <row r="1106" spans="53:53" x14ac:dyDescent="0.25">
      <c r="BA1106"/>
    </row>
    <row r="1107" spans="53:53" x14ac:dyDescent="0.25">
      <c r="BA1107"/>
    </row>
    <row r="1108" spans="53:53" x14ac:dyDescent="0.25">
      <c r="BA1108"/>
    </row>
    <row r="1109" spans="53:53" x14ac:dyDescent="0.25">
      <c r="BA1109"/>
    </row>
    <row r="1110" spans="53:53" x14ac:dyDescent="0.25">
      <c r="BA1110"/>
    </row>
    <row r="1111" spans="53:53" x14ac:dyDescent="0.25">
      <c r="BA1111"/>
    </row>
    <row r="1112" spans="53:53" x14ac:dyDescent="0.25">
      <c r="BA1112"/>
    </row>
    <row r="1113" spans="53:53" x14ac:dyDescent="0.25">
      <c r="BA1113"/>
    </row>
    <row r="1114" spans="53:53" x14ac:dyDescent="0.25">
      <c r="BA1114"/>
    </row>
    <row r="1115" spans="53:53" x14ac:dyDescent="0.25">
      <c r="BA1115"/>
    </row>
    <row r="1116" spans="53:53" x14ac:dyDescent="0.25">
      <c r="BA1116"/>
    </row>
    <row r="1117" spans="53:53" x14ac:dyDescent="0.25">
      <c r="BA1117"/>
    </row>
    <row r="1118" spans="53:53" x14ac:dyDescent="0.25">
      <c r="BA1118"/>
    </row>
    <row r="1119" spans="53:53" x14ac:dyDescent="0.25">
      <c r="BA1119"/>
    </row>
    <row r="1120" spans="53:53" x14ac:dyDescent="0.25">
      <c r="BA1120"/>
    </row>
    <row r="1121" spans="53:53" x14ac:dyDescent="0.25">
      <c r="BA1121"/>
    </row>
    <row r="1122" spans="53:53" x14ac:dyDescent="0.25">
      <c r="BA1122"/>
    </row>
    <row r="1123" spans="53:53" x14ac:dyDescent="0.25">
      <c r="BA1123"/>
    </row>
    <row r="1124" spans="53:53" x14ac:dyDescent="0.25">
      <c r="BA1124"/>
    </row>
    <row r="1125" spans="53:53" x14ac:dyDescent="0.25">
      <c r="BA1125"/>
    </row>
    <row r="1126" spans="53:53" x14ac:dyDescent="0.25">
      <c r="BA1126"/>
    </row>
    <row r="1127" spans="53:53" x14ac:dyDescent="0.25">
      <c r="BA1127"/>
    </row>
    <row r="1128" spans="53:53" x14ac:dyDescent="0.25">
      <c r="BA1128"/>
    </row>
    <row r="1129" spans="53:53" x14ac:dyDescent="0.25">
      <c r="BA1129"/>
    </row>
    <row r="1130" spans="53:53" x14ac:dyDescent="0.25">
      <c r="BA1130"/>
    </row>
    <row r="1131" spans="53:53" x14ac:dyDescent="0.25">
      <c r="BA1131"/>
    </row>
    <row r="1132" spans="53:53" x14ac:dyDescent="0.25">
      <c r="BA1132"/>
    </row>
    <row r="1133" spans="53:53" x14ac:dyDescent="0.25">
      <c r="BA1133"/>
    </row>
    <row r="1134" spans="53:53" x14ac:dyDescent="0.25">
      <c r="BA1134"/>
    </row>
    <row r="1135" spans="53:53" x14ac:dyDescent="0.25">
      <c r="BA1135"/>
    </row>
    <row r="1136" spans="53:53" x14ac:dyDescent="0.25">
      <c r="BA1136"/>
    </row>
    <row r="1137" spans="53:53" x14ac:dyDescent="0.25">
      <c r="BA1137"/>
    </row>
    <row r="1138" spans="53:53" x14ac:dyDescent="0.25">
      <c r="BA1138"/>
    </row>
    <row r="1139" spans="53:53" x14ac:dyDescent="0.25">
      <c r="BA1139"/>
    </row>
    <row r="1140" spans="53:53" x14ac:dyDescent="0.25">
      <c r="BA1140"/>
    </row>
    <row r="1141" spans="53:53" x14ac:dyDescent="0.25">
      <c r="BA1141"/>
    </row>
    <row r="1142" spans="53:53" x14ac:dyDescent="0.25">
      <c r="BA1142"/>
    </row>
    <row r="1143" spans="53:53" x14ac:dyDescent="0.25">
      <c r="BA1143"/>
    </row>
    <row r="1144" spans="53:53" x14ac:dyDescent="0.25">
      <c r="BA1144"/>
    </row>
    <row r="1145" spans="53:53" x14ac:dyDescent="0.25">
      <c r="BA1145"/>
    </row>
    <row r="1146" spans="53:53" x14ac:dyDescent="0.25">
      <c r="BA1146"/>
    </row>
    <row r="1147" spans="53:53" x14ac:dyDescent="0.25">
      <c r="BA1147"/>
    </row>
    <row r="1148" spans="53:53" x14ac:dyDescent="0.25">
      <c r="BA1148"/>
    </row>
    <row r="1149" spans="53:53" x14ac:dyDescent="0.25">
      <c r="BA1149"/>
    </row>
    <row r="1150" spans="53:53" x14ac:dyDescent="0.25">
      <c r="BA1150"/>
    </row>
    <row r="1151" spans="53:53" x14ac:dyDescent="0.25">
      <c r="BA1151"/>
    </row>
    <row r="1152" spans="53:53" x14ac:dyDescent="0.25">
      <c r="BA1152"/>
    </row>
    <row r="1153" spans="53:53" x14ac:dyDescent="0.25">
      <c r="BA1153"/>
    </row>
    <row r="1154" spans="53:53" x14ac:dyDescent="0.25">
      <c r="BA1154"/>
    </row>
    <row r="1155" spans="53:53" x14ac:dyDescent="0.25">
      <c r="BA1155"/>
    </row>
    <row r="1156" spans="53:53" x14ac:dyDescent="0.25">
      <c r="BA1156"/>
    </row>
    <row r="1157" spans="53:53" x14ac:dyDescent="0.25">
      <c r="BA1157"/>
    </row>
    <row r="1158" spans="53:53" x14ac:dyDescent="0.25">
      <c r="BA1158"/>
    </row>
    <row r="1159" spans="53:53" x14ac:dyDescent="0.25">
      <c r="BA1159"/>
    </row>
    <row r="1160" spans="53:53" x14ac:dyDescent="0.25">
      <c r="BA1160"/>
    </row>
    <row r="1161" spans="53:53" x14ac:dyDescent="0.25">
      <c r="BA1161"/>
    </row>
    <row r="1162" spans="53:53" x14ac:dyDescent="0.25">
      <c r="BA1162"/>
    </row>
    <row r="1163" spans="53:53" x14ac:dyDescent="0.25">
      <c r="BA1163"/>
    </row>
    <row r="1164" spans="53:53" x14ac:dyDescent="0.25">
      <c r="BA1164"/>
    </row>
    <row r="1165" spans="53:53" x14ac:dyDescent="0.25">
      <c r="BA1165"/>
    </row>
    <row r="1166" spans="53:53" x14ac:dyDescent="0.25">
      <c r="BA1166"/>
    </row>
    <row r="1167" spans="53:53" x14ac:dyDescent="0.25">
      <c r="BA1167"/>
    </row>
    <row r="1168" spans="53:53" x14ac:dyDescent="0.25">
      <c r="BA1168"/>
    </row>
    <row r="1169" spans="53:53" x14ac:dyDescent="0.25">
      <c r="BA1169"/>
    </row>
    <row r="1170" spans="53:53" x14ac:dyDescent="0.25">
      <c r="BA1170"/>
    </row>
    <row r="1171" spans="53:53" x14ac:dyDescent="0.25">
      <c r="BA1171"/>
    </row>
    <row r="1172" spans="53:53" x14ac:dyDescent="0.25">
      <c r="BA1172"/>
    </row>
    <row r="1173" spans="53:53" x14ac:dyDescent="0.25">
      <c r="BA1173"/>
    </row>
    <row r="1174" spans="53:53" x14ac:dyDescent="0.25">
      <c r="BA1174"/>
    </row>
    <row r="1175" spans="53:53" x14ac:dyDescent="0.25">
      <c r="BA1175"/>
    </row>
    <row r="1176" spans="53:53" x14ac:dyDescent="0.25">
      <c r="BA1176"/>
    </row>
    <row r="1177" spans="53:53" x14ac:dyDescent="0.25">
      <c r="BA1177"/>
    </row>
    <row r="1178" spans="53:53" x14ac:dyDescent="0.25">
      <c r="BA1178"/>
    </row>
    <row r="1179" spans="53:53" x14ac:dyDescent="0.25">
      <c r="BA1179"/>
    </row>
    <row r="1180" spans="53:53" x14ac:dyDescent="0.25">
      <c r="BA1180"/>
    </row>
    <row r="1181" spans="53:53" x14ac:dyDescent="0.25">
      <c r="BA1181"/>
    </row>
    <row r="1182" spans="53:53" x14ac:dyDescent="0.25">
      <c r="BA1182"/>
    </row>
    <row r="1183" spans="53:53" x14ac:dyDescent="0.25">
      <c r="BA1183"/>
    </row>
    <row r="1184" spans="53:53" x14ac:dyDescent="0.25">
      <c r="BA1184"/>
    </row>
    <row r="1185" spans="53:53" x14ac:dyDescent="0.25">
      <c r="BA1185"/>
    </row>
    <row r="1186" spans="53:53" x14ac:dyDescent="0.25">
      <c r="BA1186"/>
    </row>
    <row r="1187" spans="53:53" x14ac:dyDescent="0.25">
      <c r="BA1187"/>
    </row>
    <row r="1188" spans="53:53" x14ac:dyDescent="0.25">
      <c r="BA1188"/>
    </row>
    <row r="1189" spans="53:53" x14ac:dyDescent="0.25">
      <c r="BA1189"/>
    </row>
    <row r="1190" spans="53:53" x14ac:dyDescent="0.25">
      <c r="BA1190"/>
    </row>
    <row r="1191" spans="53:53" x14ac:dyDescent="0.25">
      <c r="BA1191"/>
    </row>
    <row r="1192" spans="53:53" x14ac:dyDescent="0.25">
      <c r="BA1192"/>
    </row>
    <row r="1193" spans="53:53" x14ac:dyDescent="0.25">
      <c r="BA1193"/>
    </row>
    <row r="1194" spans="53:53" x14ac:dyDescent="0.25">
      <c r="BA1194"/>
    </row>
    <row r="1195" spans="53:53" x14ac:dyDescent="0.25">
      <c r="BA1195"/>
    </row>
    <row r="1196" spans="53:53" x14ac:dyDescent="0.25">
      <c r="BA1196"/>
    </row>
    <row r="1197" spans="53:53" x14ac:dyDescent="0.25">
      <c r="BA1197"/>
    </row>
    <row r="1198" spans="53:53" x14ac:dyDescent="0.25">
      <c r="BA1198"/>
    </row>
    <row r="1199" spans="53:53" x14ac:dyDescent="0.25">
      <c r="BA1199"/>
    </row>
    <row r="1200" spans="53:53" x14ac:dyDescent="0.25">
      <c r="BA1200"/>
    </row>
    <row r="1201" spans="53:53" x14ac:dyDescent="0.25">
      <c r="BA1201"/>
    </row>
    <row r="1202" spans="53:53" x14ac:dyDescent="0.25">
      <c r="BA1202"/>
    </row>
    <row r="1203" spans="53:53" x14ac:dyDescent="0.25">
      <c r="BA1203"/>
    </row>
    <row r="1204" spans="53:53" x14ac:dyDescent="0.25">
      <c r="BA1204"/>
    </row>
    <row r="1205" spans="53:53" x14ac:dyDescent="0.25">
      <c r="BA1205"/>
    </row>
    <row r="1206" spans="53:53" x14ac:dyDescent="0.25">
      <c r="BA1206"/>
    </row>
    <row r="1207" spans="53:53" x14ac:dyDescent="0.25">
      <c r="BA1207"/>
    </row>
    <row r="1208" spans="53:53" x14ac:dyDescent="0.25">
      <c r="BA1208"/>
    </row>
    <row r="1209" spans="53:53" x14ac:dyDescent="0.25">
      <c r="BA1209"/>
    </row>
    <row r="1210" spans="53:53" x14ac:dyDescent="0.25">
      <c r="BA1210"/>
    </row>
    <row r="1211" spans="53:53" x14ac:dyDescent="0.25">
      <c r="BA1211"/>
    </row>
    <row r="1212" spans="53:53" x14ac:dyDescent="0.25">
      <c r="BA1212"/>
    </row>
    <row r="1213" spans="53:53" x14ac:dyDescent="0.25">
      <c r="BA1213"/>
    </row>
    <row r="1214" spans="53:53" x14ac:dyDescent="0.25">
      <c r="BA1214"/>
    </row>
    <row r="1215" spans="53:53" x14ac:dyDescent="0.25">
      <c r="BA1215"/>
    </row>
    <row r="1216" spans="53:53" x14ac:dyDescent="0.25">
      <c r="BA1216"/>
    </row>
    <row r="1217" spans="53:53" x14ac:dyDescent="0.25">
      <c r="BA1217"/>
    </row>
    <row r="1218" spans="53:53" x14ac:dyDescent="0.25">
      <c r="BA1218"/>
    </row>
    <row r="1219" spans="53:53" x14ac:dyDescent="0.25">
      <c r="BA1219"/>
    </row>
    <row r="1220" spans="53:53" x14ac:dyDescent="0.25">
      <c r="BA1220"/>
    </row>
    <row r="1221" spans="53:53" x14ac:dyDescent="0.25">
      <c r="BA1221"/>
    </row>
    <row r="1222" spans="53:53" x14ac:dyDescent="0.25">
      <c r="BA1222"/>
    </row>
    <row r="1223" spans="53:53" x14ac:dyDescent="0.25">
      <c r="BA1223"/>
    </row>
    <row r="1224" spans="53:53" x14ac:dyDescent="0.25">
      <c r="BA1224"/>
    </row>
    <row r="1225" spans="53:53" x14ac:dyDescent="0.25">
      <c r="BA1225"/>
    </row>
    <row r="1226" spans="53:53" x14ac:dyDescent="0.25">
      <c r="BA1226"/>
    </row>
    <row r="1227" spans="53:53" x14ac:dyDescent="0.25">
      <c r="BA1227"/>
    </row>
    <row r="1228" spans="53:53" x14ac:dyDescent="0.25">
      <c r="BA1228"/>
    </row>
    <row r="1229" spans="53:53" x14ac:dyDescent="0.25">
      <c r="BA1229"/>
    </row>
    <row r="1230" spans="53:53" x14ac:dyDescent="0.25">
      <c r="BA1230"/>
    </row>
    <row r="1231" spans="53:53" x14ac:dyDescent="0.25">
      <c r="BA1231"/>
    </row>
    <row r="1232" spans="53:53" x14ac:dyDescent="0.25">
      <c r="BA1232"/>
    </row>
    <row r="1233" spans="53:53" x14ac:dyDescent="0.25">
      <c r="BA1233"/>
    </row>
    <row r="1234" spans="53:53" x14ac:dyDescent="0.25">
      <c r="BA1234"/>
    </row>
    <row r="1235" spans="53:53" x14ac:dyDescent="0.25">
      <c r="BA1235"/>
    </row>
    <row r="1236" spans="53:53" x14ac:dyDescent="0.25">
      <c r="BA1236"/>
    </row>
    <row r="1237" spans="53:53" x14ac:dyDescent="0.25">
      <c r="BA1237"/>
    </row>
    <row r="1238" spans="53:53" x14ac:dyDescent="0.25">
      <c r="BA1238"/>
    </row>
    <row r="1239" spans="53:53" x14ac:dyDescent="0.25">
      <c r="BA1239"/>
    </row>
    <row r="1240" spans="53:53" x14ac:dyDescent="0.25">
      <c r="BA1240"/>
    </row>
    <row r="1241" spans="53:53" x14ac:dyDescent="0.25">
      <c r="BA1241"/>
    </row>
    <row r="1242" spans="53:53" x14ac:dyDescent="0.25">
      <c r="BA1242"/>
    </row>
    <row r="1243" spans="53:53" x14ac:dyDescent="0.25">
      <c r="BA1243"/>
    </row>
    <row r="1244" spans="53:53" x14ac:dyDescent="0.25">
      <c r="BA1244"/>
    </row>
    <row r="1245" spans="53:53" x14ac:dyDescent="0.25">
      <c r="BA1245"/>
    </row>
    <row r="1246" spans="53:53" x14ac:dyDescent="0.25">
      <c r="BA1246"/>
    </row>
    <row r="1247" spans="53:53" x14ac:dyDescent="0.25">
      <c r="BA1247"/>
    </row>
    <row r="1248" spans="53:53" x14ac:dyDescent="0.25">
      <c r="BA1248"/>
    </row>
    <row r="1249" spans="53:53" x14ac:dyDescent="0.25">
      <c r="BA1249"/>
    </row>
    <row r="1250" spans="53:53" x14ac:dyDescent="0.25">
      <c r="BA1250"/>
    </row>
    <row r="1251" spans="53:53" x14ac:dyDescent="0.25">
      <c r="BA1251"/>
    </row>
    <row r="1252" spans="53:53" x14ac:dyDescent="0.25">
      <c r="BA1252"/>
    </row>
    <row r="1253" spans="53:53" x14ac:dyDescent="0.25">
      <c r="BA1253"/>
    </row>
    <row r="1254" spans="53:53" x14ac:dyDescent="0.25">
      <c r="BA1254"/>
    </row>
    <row r="1255" spans="53:53" x14ac:dyDescent="0.25">
      <c r="BA1255"/>
    </row>
    <row r="1256" spans="53:53" x14ac:dyDescent="0.25">
      <c r="BA1256"/>
    </row>
    <row r="1257" spans="53:53" x14ac:dyDescent="0.25">
      <c r="BA1257"/>
    </row>
    <row r="1258" spans="53:53" x14ac:dyDescent="0.25">
      <c r="BA1258"/>
    </row>
    <row r="1259" spans="53:53" x14ac:dyDescent="0.25">
      <c r="BA1259"/>
    </row>
    <row r="1260" spans="53:53" x14ac:dyDescent="0.25">
      <c r="BA1260"/>
    </row>
    <row r="1261" spans="53:53" x14ac:dyDescent="0.25">
      <c r="BA1261"/>
    </row>
    <row r="1262" spans="53:53" x14ac:dyDescent="0.25">
      <c r="BA1262"/>
    </row>
    <row r="1263" spans="53:53" x14ac:dyDescent="0.25">
      <c r="BA1263"/>
    </row>
    <row r="1264" spans="53:53" x14ac:dyDescent="0.25">
      <c r="BA1264"/>
    </row>
    <row r="1265" spans="53:53" x14ac:dyDescent="0.25">
      <c r="BA1265"/>
    </row>
    <row r="1266" spans="53:53" x14ac:dyDescent="0.25">
      <c r="BA1266"/>
    </row>
    <row r="1267" spans="53:53" x14ac:dyDescent="0.25">
      <c r="BA1267"/>
    </row>
    <row r="1268" spans="53:53" x14ac:dyDescent="0.25">
      <c r="BA1268"/>
    </row>
    <row r="1269" spans="53:53" x14ac:dyDescent="0.25">
      <c r="BA1269"/>
    </row>
    <row r="1270" spans="53:53" x14ac:dyDescent="0.25">
      <c r="BA1270"/>
    </row>
    <row r="1271" spans="53:53" x14ac:dyDescent="0.25">
      <c r="BA1271"/>
    </row>
    <row r="1272" spans="53:53" x14ac:dyDescent="0.25">
      <c r="BA1272"/>
    </row>
    <row r="1273" spans="53:53" x14ac:dyDescent="0.25">
      <c r="BA1273"/>
    </row>
    <row r="1274" spans="53:53" x14ac:dyDescent="0.25">
      <c r="BA1274"/>
    </row>
    <row r="1275" spans="53:53" x14ac:dyDescent="0.25">
      <c r="BA1275"/>
    </row>
    <row r="1276" spans="53:53" x14ac:dyDescent="0.25">
      <c r="BA1276"/>
    </row>
    <row r="1277" spans="53:53" x14ac:dyDescent="0.25">
      <c r="BA1277"/>
    </row>
    <row r="1278" spans="53:53" x14ac:dyDescent="0.25">
      <c r="BA1278"/>
    </row>
    <row r="1279" spans="53:53" x14ac:dyDescent="0.25">
      <c r="BA1279"/>
    </row>
    <row r="1280" spans="53:53" x14ac:dyDescent="0.25">
      <c r="BA1280"/>
    </row>
    <row r="1281" spans="53:53" x14ac:dyDescent="0.25">
      <c r="BA1281"/>
    </row>
    <row r="1282" spans="53:53" x14ac:dyDescent="0.25">
      <c r="BA1282"/>
    </row>
    <row r="1283" spans="53:53" x14ac:dyDescent="0.25">
      <c r="BA1283"/>
    </row>
    <row r="1284" spans="53:53" x14ac:dyDescent="0.25">
      <c r="BA1284"/>
    </row>
    <row r="1285" spans="53:53" x14ac:dyDescent="0.25">
      <c r="BA1285"/>
    </row>
    <row r="1286" spans="53:53" x14ac:dyDescent="0.25">
      <c r="BA1286"/>
    </row>
    <row r="1287" spans="53:53" x14ac:dyDescent="0.25">
      <c r="BA1287"/>
    </row>
    <row r="1288" spans="53:53" x14ac:dyDescent="0.25">
      <c r="BA1288"/>
    </row>
    <row r="1289" spans="53:53" x14ac:dyDescent="0.25">
      <c r="BA1289"/>
    </row>
    <row r="1290" spans="53:53" x14ac:dyDescent="0.25">
      <c r="BA1290"/>
    </row>
    <row r="1291" spans="53:53" x14ac:dyDescent="0.25">
      <c r="BA1291"/>
    </row>
    <row r="1292" spans="53:53" x14ac:dyDescent="0.25">
      <c r="BA1292"/>
    </row>
    <row r="1293" spans="53:53" x14ac:dyDescent="0.25">
      <c r="BA1293"/>
    </row>
    <row r="1294" spans="53:53" x14ac:dyDescent="0.25">
      <c r="BA1294"/>
    </row>
    <row r="1295" spans="53:53" x14ac:dyDescent="0.25">
      <c r="BA1295"/>
    </row>
    <row r="1296" spans="53:53" x14ac:dyDescent="0.25">
      <c r="BA1296"/>
    </row>
    <row r="1297" spans="53:53" x14ac:dyDescent="0.25">
      <c r="BA1297"/>
    </row>
    <row r="1298" spans="53:53" x14ac:dyDescent="0.25">
      <c r="BA1298"/>
    </row>
    <row r="1299" spans="53:53" x14ac:dyDescent="0.25">
      <c r="BA1299"/>
    </row>
    <row r="1300" spans="53:53" x14ac:dyDescent="0.25">
      <c r="BA1300"/>
    </row>
    <row r="1301" spans="53:53" x14ac:dyDescent="0.25">
      <c r="BA1301"/>
    </row>
    <row r="1302" spans="53:53" x14ac:dyDescent="0.25">
      <c r="BA1302"/>
    </row>
    <row r="1303" spans="53:53" x14ac:dyDescent="0.25">
      <c r="BA1303"/>
    </row>
    <row r="1304" spans="53:53" x14ac:dyDescent="0.25">
      <c r="BA1304"/>
    </row>
    <row r="1305" spans="53:53" x14ac:dyDescent="0.25">
      <c r="BA1305"/>
    </row>
    <row r="1306" spans="53:53" x14ac:dyDescent="0.25">
      <c r="BA1306"/>
    </row>
    <row r="1307" spans="53:53" x14ac:dyDescent="0.25">
      <c r="BA1307"/>
    </row>
    <row r="1308" spans="53:53" x14ac:dyDescent="0.25">
      <c r="BA1308"/>
    </row>
    <row r="1309" spans="53:53" x14ac:dyDescent="0.25">
      <c r="BA1309"/>
    </row>
    <row r="1310" spans="53:53" x14ac:dyDescent="0.25">
      <c r="BA1310"/>
    </row>
    <row r="1311" spans="53:53" x14ac:dyDescent="0.25">
      <c r="BA1311"/>
    </row>
    <row r="1312" spans="53:53" x14ac:dyDescent="0.25">
      <c r="BA1312"/>
    </row>
    <row r="1313" spans="53:53" x14ac:dyDescent="0.25">
      <c r="BA1313"/>
    </row>
    <row r="1314" spans="53:53" x14ac:dyDescent="0.25">
      <c r="BA1314"/>
    </row>
    <row r="1315" spans="53:53" x14ac:dyDescent="0.25">
      <c r="BA1315"/>
    </row>
    <row r="1316" spans="53:53" x14ac:dyDescent="0.25">
      <c r="BA1316"/>
    </row>
    <row r="1317" spans="53:53" x14ac:dyDescent="0.25">
      <c r="BA1317"/>
    </row>
    <row r="1318" spans="53:53" x14ac:dyDescent="0.25">
      <c r="BA1318"/>
    </row>
    <row r="1319" spans="53:53" x14ac:dyDescent="0.25">
      <c r="BA1319"/>
    </row>
    <row r="1320" spans="53:53" x14ac:dyDescent="0.25">
      <c r="BA1320"/>
    </row>
    <row r="1321" spans="53:53" x14ac:dyDescent="0.25">
      <c r="BA1321"/>
    </row>
    <row r="1322" spans="53:53" x14ac:dyDescent="0.25">
      <c r="BA1322"/>
    </row>
    <row r="1323" spans="53:53" x14ac:dyDescent="0.25">
      <c r="BA1323"/>
    </row>
    <row r="1324" spans="53:53" x14ac:dyDescent="0.25">
      <c r="BA1324"/>
    </row>
    <row r="1325" spans="53:53" x14ac:dyDescent="0.25">
      <c r="BA1325"/>
    </row>
    <row r="1326" spans="53:53" x14ac:dyDescent="0.25">
      <c r="BA1326"/>
    </row>
    <row r="1327" spans="53:53" x14ac:dyDescent="0.25">
      <c r="BA1327"/>
    </row>
    <row r="1328" spans="53:53" x14ac:dyDescent="0.25">
      <c r="BA1328"/>
    </row>
    <row r="1329" spans="53:53" x14ac:dyDescent="0.25">
      <c r="BA1329"/>
    </row>
    <row r="1330" spans="53:53" x14ac:dyDescent="0.25">
      <c r="BA1330"/>
    </row>
    <row r="1331" spans="53:53" x14ac:dyDescent="0.25">
      <c r="BA1331"/>
    </row>
    <row r="1332" spans="53:53" x14ac:dyDescent="0.25">
      <c r="BA1332"/>
    </row>
    <row r="1333" spans="53:53" x14ac:dyDescent="0.25">
      <c r="BA1333"/>
    </row>
    <row r="1334" spans="53:53" x14ac:dyDescent="0.25">
      <c r="BA1334"/>
    </row>
    <row r="1335" spans="53:53" x14ac:dyDescent="0.25">
      <c r="BA1335"/>
    </row>
    <row r="1336" spans="53:53" x14ac:dyDescent="0.25">
      <c r="BA1336"/>
    </row>
    <row r="1337" spans="53:53" x14ac:dyDescent="0.25">
      <c r="BA1337"/>
    </row>
    <row r="1338" spans="53:53" x14ac:dyDescent="0.25">
      <c r="BA1338"/>
    </row>
    <row r="1339" spans="53:53" x14ac:dyDescent="0.25">
      <c r="BA1339"/>
    </row>
    <row r="1340" spans="53:53" x14ac:dyDescent="0.25">
      <c r="BA1340"/>
    </row>
    <row r="1341" spans="53:53" x14ac:dyDescent="0.25">
      <c r="BA1341"/>
    </row>
    <row r="1342" spans="53:53" x14ac:dyDescent="0.25">
      <c r="BA1342"/>
    </row>
    <row r="1343" spans="53:53" x14ac:dyDescent="0.25">
      <c r="BA1343"/>
    </row>
    <row r="1344" spans="53:53" x14ac:dyDescent="0.25">
      <c r="BA1344"/>
    </row>
    <row r="1345" spans="53:53" x14ac:dyDescent="0.25">
      <c r="BA1345"/>
    </row>
    <row r="1346" spans="53:53" x14ac:dyDescent="0.25">
      <c r="BA1346"/>
    </row>
    <row r="1347" spans="53:53" x14ac:dyDescent="0.25">
      <c r="BA1347"/>
    </row>
    <row r="1348" spans="53:53" x14ac:dyDescent="0.25">
      <c r="BA1348"/>
    </row>
    <row r="1349" spans="53:53" x14ac:dyDescent="0.25">
      <c r="BA1349"/>
    </row>
    <row r="1350" spans="53:53" x14ac:dyDescent="0.25">
      <c r="BA1350"/>
    </row>
    <row r="1351" spans="53:53" x14ac:dyDescent="0.25">
      <c r="BA1351"/>
    </row>
    <row r="1352" spans="53:53" x14ac:dyDescent="0.25">
      <c r="BA1352"/>
    </row>
    <row r="1353" spans="53:53" x14ac:dyDescent="0.25">
      <c r="BA1353"/>
    </row>
    <row r="1354" spans="53:53" x14ac:dyDescent="0.25">
      <c r="BA1354"/>
    </row>
    <row r="1355" spans="53:53" x14ac:dyDescent="0.25">
      <c r="BA1355"/>
    </row>
    <row r="1356" spans="53:53" x14ac:dyDescent="0.25">
      <c r="BA1356"/>
    </row>
    <row r="1357" spans="53:53" x14ac:dyDescent="0.25">
      <c r="BA1357"/>
    </row>
    <row r="1358" spans="53:53" x14ac:dyDescent="0.25">
      <c r="BA1358"/>
    </row>
    <row r="1359" spans="53:53" x14ac:dyDescent="0.25">
      <c r="BA1359"/>
    </row>
    <row r="1360" spans="53:53" x14ac:dyDescent="0.25">
      <c r="BA1360"/>
    </row>
    <row r="1361" spans="53:53" x14ac:dyDescent="0.25">
      <c r="BA1361"/>
    </row>
    <row r="1362" spans="53:53" x14ac:dyDescent="0.25">
      <c r="BA1362"/>
    </row>
    <row r="1363" spans="53:53" x14ac:dyDescent="0.25">
      <c r="BA1363"/>
    </row>
    <row r="1364" spans="53:53" x14ac:dyDescent="0.25">
      <c r="BA1364"/>
    </row>
    <row r="1365" spans="53:53" x14ac:dyDescent="0.25">
      <c r="BA1365"/>
    </row>
    <row r="1366" spans="53:53" x14ac:dyDescent="0.25">
      <c r="BA1366"/>
    </row>
    <row r="1367" spans="53:53" x14ac:dyDescent="0.25">
      <c r="BA1367"/>
    </row>
    <row r="1368" spans="53:53" x14ac:dyDescent="0.25">
      <c r="BA1368"/>
    </row>
    <row r="1369" spans="53:53" x14ac:dyDescent="0.25">
      <c r="BA1369"/>
    </row>
    <row r="1370" spans="53:53" x14ac:dyDescent="0.25">
      <c r="BA1370"/>
    </row>
    <row r="1371" spans="53:53" x14ac:dyDescent="0.25">
      <c r="BA1371"/>
    </row>
    <row r="1372" spans="53:53" x14ac:dyDescent="0.25">
      <c r="BA1372"/>
    </row>
    <row r="1373" spans="53:53" x14ac:dyDescent="0.25">
      <c r="BA1373"/>
    </row>
    <row r="1374" spans="53:53" x14ac:dyDescent="0.25">
      <c r="BA1374"/>
    </row>
    <row r="1375" spans="53:53" x14ac:dyDescent="0.25">
      <c r="BA1375"/>
    </row>
    <row r="1376" spans="53:53" x14ac:dyDescent="0.25">
      <c r="BA1376"/>
    </row>
    <row r="1377" spans="53:53" x14ac:dyDescent="0.25">
      <c r="BA1377"/>
    </row>
    <row r="1378" spans="53:53" x14ac:dyDescent="0.25">
      <c r="BA1378"/>
    </row>
    <row r="1379" spans="53:53" x14ac:dyDescent="0.25">
      <c r="BA1379"/>
    </row>
    <row r="1380" spans="53:53" x14ac:dyDescent="0.25">
      <c r="BA1380"/>
    </row>
    <row r="1381" spans="53:53" x14ac:dyDescent="0.25">
      <c r="BA1381"/>
    </row>
    <row r="1382" spans="53:53" x14ac:dyDescent="0.25">
      <c r="BA1382"/>
    </row>
    <row r="1383" spans="53:53" x14ac:dyDescent="0.25">
      <c r="BA1383"/>
    </row>
    <row r="1384" spans="53:53" x14ac:dyDescent="0.25">
      <c r="BA1384"/>
    </row>
    <row r="1385" spans="53:53" x14ac:dyDescent="0.25">
      <c r="BA1385"/>
    </row>
    <row r="1386" spans="53:53" x14ac:dyDescent="0.25">
      <c r="BA1386"/>
    </row>
    <row r="1387" spans="53:53" x14ac:dyDescent="0.25">
      <c r="BA1387"/>
    </row>
    <row r="1388" spans="53:53" x14ac:dyDescent="0.25">
      <c r="BA1388"/>
    </row>
    <row r="1389" spans="53:53" x14ac:dyDescent="0.25">
      <c r="BA1389"/>
    </row>
    <row r="1390" spans="53:53" x14ac:dyDescent="0.25">
      <c r="BA1390"/>
    </row>
    <row r="1391" spans="53:53" x14ac:dyDescent="0.25">
      <c r="BA1391"/>
    </row>
    <row r="1392" spans="53:53" x14ac:dyDescent="0.25">
      <c r="BA1392"/>
    </row>
    <row r="1393" spans="53:53" x14ac:dyDescent="0.25">
      <c r="BA1393"/>
    </row>
    <row r="1394" spans="53:53" x14ac:dyDescent="0.25">
      <c r="BA1394"/>
    </row>
    <row r="1395" spans="53:53" x14ac:dyDescent="0.25">
      <c r="BA1395"/>
    </row>
    <row r="1396" spans="53:53" x14ac:dyDescent="0.25">
      <c r="BA1396"/>
    </row>
    <row r="1397" spans="53:53" x14ac:dyDescent="0.25">
      <c r="BA1397"/>
    </row>
    <row r="1398" spans="53:53" x14ac:dyDescent="0.25">
      <c r="BA1398"/>
    </row>
    <row r="1399" spans="53:53" x14ac:dyDescent="0.25">
      <c r="BA1399"/>
    </row>
    <row r="1400" spans="53:53" x14ac:dyDescent="0.25">
      <c r="BA1400"/>
    </row>
    <row r="1401" spans="53:53" x14ac:dyDescent="0.25">
      <c r="BA1401"/>
    </row>
    <row r="1402" spans="53:53" x14ac:dyDescent="0.25">
      <c r="BA1402"/>
    </row>
    <row r="1403" spans="53:53" x14ac:dyDescent="0.25">
      <c r="BA1403"/>
    </row>
    <row r="1404" spans="53:53" x14ac:dyDescent="0.25">
      <c r="BA1404"/>
    </row>
    <row r="1405" spans="53:53" x14ac:dyDescent="0.25">
      <c r="BA1405"/>
    </row>
    <row r="1406" spans="53:53" x14ac:dyDescent="0.25">
      <c r="BA1406"/>
    </row>
    <row r="1407" spans="53:53" x14ac:dyDescent="0.25">
      <c r="BA1407"/>
    </row>
    <row r="1408" spans="53:53" x14ac:dyDescent="0.25">
      <c r="BA1408"/>
    </row>
    <row r="1409" spans="53:53" x14ac:dyDescent="0.25">
      <c r="BA1409"/>
    </row>
    <row r="1410" spans="53:53" x14ac:dyDescent="0.25">
      <c r="BA1410"/>
    </row>
    <row r="1411" spans="53:53" x14ac:dyDescent="0.25">
      <c r="BA1411"/>
    </row>
    <row r="1412" spans="53:53" x14ac:dyDescent="0.25">
      <c r="BA1412"/>
    </row>
    <row r="1413" spans="53:53" x14ac:dyDescent="0.25">
      <c r="BA1413"/>
    </row>
    <row r="1414" spans="53:53" x14ac:dyDescent="0.25">
      <c r="BA1414"/>
    </row>
    <row r="1415" spans="53:53" x14ac:dyDescent="0.25">
      <c r="BA1415"/>
    </row>
    <row r="1416" spans="53:53" x14ac:dyDescent="0.25">
      <c r="BA1416"/>
    </row>
    <row r="1417" spans="53:53" x14ac:dyDescent="0.25">
      <c r="BA1417"/>
    </row>
    <row r="1418" spans="53:53" x14ac:dyDescent="0.25">
      <c r="BA1418"/>
    </row>
    <row r="1419" spans="53:53" x14ac:dyDescent="0.25">
      <c r="BA1419"/>
    </row>
    <row r="1420" spans="53:53" x14ac:dyDescent="0.25">
      <c r="BA1420"/>
    </row>
    <row r="1421" spans="53:53" x14ac:dyDescent="0.25">
      <c r="BA1421"/>
    </row>
    <row r="1422" spans="53:53" x14ac:dyDescent="0.25">
      <c r="BA1422"/>
    </row>
    <row r="1423" spans="53:53" x14ac:dyDescent="0.25">
      <c r="BA1423"/>
    </row>
    <row r="1424" spans="53:53" x14ac:dyDescent="0.25">
      <c r="BA1424"/>
    </row>
    <row r="1425" spans="53:53" x14ac:dyDescent="0.25">
      <c r="BA1425"/>
    </row>
    <row r="1426" spans="53:53" x14ac:dyDescent="0.25">
      <c r="BA1426"/>
    </row>
    <row r="1427" spans="53:53" x14ac:dyDescent="0.25">
      <c r="BA1427"/>
    </row>
    <row r="1428" spans="53:53" x14ac:dyDescent="0.25">
      <c r="BA1428"/>
    </row>
    <row r="1429" spans="53:53" x14ac:dyDescent="0.25">
      <c r="BA1429"/>
    </row>
    <row r="1430" spans="53:53" x14ac:dyDescent="0.25">
      <c r="BA1430"/>
    </row>
    <row r="1431" spans="53:53" x14ac:dyDescent="0.25">
      <c r="BA1431"/>
    </row>
    <row r="1432" spans="53:53" x14ac:dyDescent="0.25">
      <c r="BA1432"/>
    </row>
    <row r="1433" spans="53:53" x14ac:dyDescent="0.25">
      <c r="BA1433"/>
    </row>
    <row r="1434" spans="53:53" x14ac:dyDescent="0.25">
      <c r="BA1434"/>
    </row>
    <row r="1435" spans="53:53" x14ac:dyDescent="0.25">
      <c r="BA1435"/>
    </row>
    <row r="1436" spans="53:53" x14ac:dyDescent="0.25">
      <c r="BA1436"/>
    </row>
    <row r="1437" spans="53:53" x14ac:dyDescent="0.25">
      <c r="BA1437"/>
    </row>
    <row r="1438" spans="53:53" x14ac:dyDescent="0.25">
      <c r="BA1438"/>
    </row>
    <row r="1439" spans="53:53" x14ac:dyDescent="0.25">
      <c r="BA1439"/>
    </row>
    <row r="1440" spans="53:53" x14ac:dyDescent="0.25">
      <c r="BA1440"/>
    </row>
    <row r="1441" spans="53:53" x14ac:dyDescent="0.25">
      <c r="BA1441"/>
    </row>
    <row r="1442" spans="53:53" x14ac:dyDescent="0.25">
      <c r="BA1442"/>
    </row>
    <row r="1443" spans="53:53" x14ac:dyDescent="0.25">
      <c r="BA1443"/>
    </row>
    <row r="1444" spans="53:53" x14ac:dyDescent="0.25">
      <c r="BA1444"/>
    </row>
    <row r="1445" spans="53:53" x14ac:dyDescent="0.25">
      <c r="BA1445"/>
    </row>
    <row r="1446" spans="53:53" x14ac:dyDescent="0.25">
      <c r="BA1446"/>
    </row>
    <row r="1447" spans="53:53" x14ac:dyDescent="0.25">
      <c r="BA1447"/>
    </row>
    <row r="1448" spans="53:53" x14ac:dyDescent="0.25">
      <c r="BA1448"/>
    </row>
    <row r="1449" spans="53:53" x14ac:dyDescent="0.25">
      <c r="BA1449"/>
    </row>
    <row r="1450" spans="53:53" x14ac:dyDescent="0.25">
      <c r="BA1450"/>
    </row>
    <row r="1451" spans="53:53" x14ac:dyDescent="0.25">
      <c r="BA1451"/>
    </row>
    <row r="1452" spans="53:53" x14ac:dyDescent="0.25">
      <c r="BA1452"/>
    </row>
    <row r="1453" spans="53:53" x14ac:dyDescent="0.25">
      <c r="BA1453"/>
    </row>
    <row r="1454" spans="53:53" x14ac:dyDescent="0.25">
      <c r="BA1454"/>
    </row>
    <row r="1455" spans="53:53" x14ac:dyDescent="0.25">
      <c r="BA1455"/>
    </row>
    <row r="1456" spans="53:53" x14ac:dyDescent="0.25">
      <c r="BA1456"/>
    </row>
    <row r="1457" spans="53:53" x14ac:dyDescent="0.25">
      <c r="BA1457"/>
    </row>
    <row r="1458" spans="53:53" x14ac:dyDescent="0.25">
      <c r="BA1458"/>
    </row>
    <row r="1459" spans="53:53" x14ac:dyDescent="0.25">
      <c r="BA1459"/>
    </row>
    <row r="1460" spans="53:53" x14ac:dyDescent="0.25">
      <c r="BA1460"/>
    </row>
    <row r="1461" spans="53:53" x14ac:dyDescent="0.25">
      <c r="BA1461"/>
    </row>
    <row r="1462" spans="53:53" x14ac:dyDescent="0.25">
      <c r="BA1462"/>
    </row>
    <row r="1463" spans="53:53" x14ac:dyDescent="0.25">
      <c r="BA1463"/>
    </row>
    <row r="1464" spans="53:53" x14ac:dyDescent="0.25">
      <c r="BA1464"/>
    </row>
    <row r="1465" spans="53:53" x14ac:dyDescent="0.25">
      <c r="BA1465"/>
    </row>
    <row r="1466" spans="53:53" x14ac:dyDescent="0.25">
      <c r="BA1466"/>
    </row>
    <row r="1467" spans="53:53" x14ac:dyDescent="0.25">
      <c r="BA1467"/>
    </row>
    <row r="1468" spans="53:53" x14ac:dyDescent="0.25">
      <c r="BA1468"/>
    </row>
    <row r="1469" spans="53:53" x14ac:dyDescent="0.25">
      <c r="BA1469"/>
    </row>
    <row r="1470" spans="53:53" x14ac:dyDescent="0.25">
      <c r="BA1470"/>
    </row>
    <row r="1471" spans="53:53" x14ac:dyDescent="0.25">
      <c r="BA1471"/>
    </row>
    <row r="1472" spans="53:53" x14ac:dyDescent="0.25">
      <c r="BA1472"/>
    </row>
    <row r="1473" spans="53:53" x14ac:dyDescent="0.25">
      <c r="BA1473"/>
    </row>
    <row r="1474" spans="53:53" x14ac:dyDescent="0.25">
      <c r="BA1474"/>
    </row>
    <row r="1475" spans="53:53" x14ac:dyDescent="0.25">
      <c r="BA1475"/>
    </row>
    <row r="1476" spans="53:53" x14ac:dyDescent="0.25">
      <c r="BA1476"/>
    </row>
    <row r="1477" spans="53:53" x14ac:dyDescent="0.25">
      <c r="BA1477"/>
    </row>
    <row r="1478" spans="53:53" x14ac:dyDescent="0.25">
      <c r="BA1478"/>
    </row>
    <row r="1479" spans="53:53" x14ac:dyDescent="0.25">
      <c r="BA1479"/>
    </row>
    <row r="1480" spans="53:53" x14ac:dyDescent="0.25">
      <c r="BA1480"/>
    </row>
    <row r="1481" spans="53:53" x14ac:dyDescent="0.25">
      <c r="BA1481"/>
    </row>
    <row r="1482" spans="53:53" x14ac:dyDescent="0.25">
      <c r="BA1482"/>
    </row>
    <row r="1483" spans="53:53" x14ac:dyDescent="0.25">
      <c r="BA1483"/>
    </row>
    <row r="1484" spans="53:53" x14ac:dyDescent="0.25">
      <c r="BA1484"/>
    </row>
    <row r="1485" spans="53:53" x14ac:dyDescent="0.25">
      <c r="BA1485"/>
    </row>
    <row r="1486" spans="53:53" x14ac:dyDescent="0.25">
      <c r="BA1486"/>
    </row>
    <row r="1487" spans="53:53" x14ac:dyDescent="0.25">
      <c r="BA1487"/>
    </row>
    <row r="1488" spans="53:53" x14ac:dyDescent="0.25">
      <c r="BA1488"/>
    </row>
    <row r="1489" spans="53:53" x14ac:dyDescent="0.25">
      <c r="BA1489"/>
    </row>
    <row r="1490" spans="53:53" x14ac:dyDescent="0.25">
      <c r="BA1490"/>
    </row>
    <row r="1491" spans="53:53" x14ac:dyDescent="0.25">
      <c r="BA1491"/>
    </row>
    <row r="1492" spans="53:53" x14ac:dyDescent="0.25">
      <c r="BA1492"/>
    </row>
    <row r="1493" spans="53:53" x14ac:dyDescent="0.25">
      <c r="BA1493"/>
    </row>
    <row r="1494" spans="53:53" x14ac:dyDescent="0.25">
      <c r="BA1494"/>
    </row>
    <row r="1495" spans="53:53" x14ac:dyDescent="0.25">
      <c r="BA1495"/>
    </row>
    <row r="1496" spans="53:53" x14ac:dyDescent="0.25">
      <c r="BA1496"/>
    </row>
    <row r="1497" spans="53:53" x14ac:dyDescent="0.25">
      <c r="BA1497"/>
    </row>
    <row r="1498" spans="53:53" x14ac:dyDescent="0.25">
      <c r="BA1498"/>
    </row>
    <row r="1499" spans="53:53" x14ac:dyDescent="0.25">
      <c r="BA1499"/>
    </row>
    <row r="1500" spans="53:53" x14ac:dyDescent="0.25">
      <c r="BA1500"/>
    </row>
    <row r="1501" spans="53:53" x14ac:dyDescent="0.25">
      <c r="BA1501"/>
    </row>
    <row r="1502" spans="53:53" x14ac:dyDescent="0.25">
      <c r="BA1502"/>
    </row>
    <row r="1503" spans="53:53" x14ac:dyDescent="0.25">
      <c r="BA1503"/>
    </row>
    <row r="1504" spans="53:53" x14ac:dyDescent="0.25">
      <c r="BA1504"/>
    </row>
    <row r="1505" spans="53:53" x14ac:dyDescent="0.25">
      <c r="BA1505"/>
    </row>
    <row r="1506" spans="53:53" x14ac:dyDescent="0.25">
      <c r="BA1506"/>
    </row>
    <row r="1507" spans="53:53" x14ac:dyDescent="0.25">
      <c r="BA1507"/>
    </row>
    <row r="1508" spans="53:53" x14ac:dyDescent="0.25">
      <c r="BA1508"/>
    </row>
    <row r="1509" spans="53:53" x14ac:dyDescent="0.25">
      <c r="BA1509"/>
    </row>
    <row r="1510" spans="53:53" x14ac:dyDescent="0.25">
      <c r="BA1510"/>
    </row>
    <row r="1511" spans="53:53" x14ac:dyDescent="0.25">
      <c r="BA1511"/>
    </row>
    <row r="1512" spans="53:53" x14ac:dyDescent="0.25">
      <c r="BA1512"/>
    </row>
    <row r="1513" spans="53:53" x14ac:dyDescent="0.25">
      <c r="BA1513"/>
    </row>
    <row r="1514" spans="53:53" x14ac:dyDescent="0.25">
      <c r="BA1514"/>
    </row>
    <row r="1515" spans="53:53" x14ac:dyDescent="0.25">
      <c r="BA1515"/>
    </row>
    <row r="1516" spans="53:53" x14ac:dyDescent="0.25">
      <c r="BA1516"/>
    </row>
    <row r="1517" spans="53:53" x14ac:dyDescent="0.25">
      <c r="BA1517"/>
    </row>
    <row r="1518" spans="53:53" x14ac:dyDescent="0.25">
      <c r="BA1518"/>
    </row>
    <row r="1519" spans="53:53" x14ac:dyDescent="0.25">
      <c r="BA1519"/>
    </row>
    <row r="1520" spans="53:53" x14ac:dyDescent="0.25">
      <c r="BA1520"/>
    </row>
    <row r="1521" spans="53:53" x14ac:dyDescent="0.25">
      <c r="BA1521"/>
    </row>
    <row r="1522" spans="53:53" x14ac:dyDescent="0.25">
      <c r="BA1522"/>
    </row>
    <row r="1523" spans="53:53" x14ac:dyDescent="0.25">
      <c r="BA1523"/>
    </row>
    <row r="1524" spans="53:53" x14ac:dyDescent="0.25">
      <c r="BA1524"/>
    </row>
    <row r="1525" spans="53:53" x14ac:dyDescent="0.25">
      <c r="BA1525"/>
    </row>
    <row r="1526" spans="53:53" x14ac:dyDescent="0.25">
      <c r="BA1526"/>
    </row>
    <row r="1527" spans="53:53" x14ac:dyDescent="0.25">
      <c r="BA1527"/>
    </row>
    <row r="1528" spans="53:53" x14ac:dyDescent="0.25">
      <c r="BA1528"/>
    </row>
    <row r="1529" spans="53:53" x14ac:dyDescent="0.25">
      <c r="BA1529"/>
    </row>
    <row r="1530" spans="53:53" x14ac:dyDescent="0.25">
      <c r="BA1530"/>
    </row>
    <row r="1531" spans="53:53" x14ac:dyDescent="0.25">
      <c r="BA1531"/>
    </row>
    <row r="1532" spans="53:53" x14ac:dyDescent="0.25">
      <c r="BA1532"/>
    </row>
    <row r="1533" spans="53:53" x14ac:dyDescent="0.25">
      <c r="BA1533"/>
    </row>
    <row r="1534" spans="53:53" x14ac:dyDescent="0.25">
      <c r="BA1534"/>
    </row>
    <row r="1535" spans="53:53" x14ac:dyDescent="0.25">
      <c r="BA1535"/>
    </row>
    <row r="1536" spans="53:53" x14ac:dyDescent="0.25">
      <c r="BA1536"/>
    </row>
    <row r="1537" spans="53:53" x14ac:dyDescent="0.25">
      <c r="BA1537"/>
    </row>
    <row r="1538" spans="53:53" x14ac:dyDescent="0.25">
      <c r="BA1538"/>
    </row>
    <row r="1539" spans="53:53" x14ac:dyDescent="0.25">
      <c r="BA1539"/>
    </row>
    <row r="1540" spans="53:53" x14ac:dyDescent="0.25">
      <c r="BA1540"/>
    </row>
    <row r="1541" spans="53:53" x14ac:dyDescent="0.25">
      <c r="BA1541"/>
    </row>
    <row r="1542" spans="53:53" x14ac:dyDescent="0.25">
      <c r="BA1542"/>
    </row>
    <row r="1543" spans="53:53" x14ac:dyDescent="0.25">
      <c r="BA1543"/>
    </row>
    <row r="1544" spans="53:53" x14ac:dyDescent="0.25">
      <c r="BA1544"/>
    </row>
    <row r="1545" spans="53:53" x14ac:dyDescent="0.25">
      <c r="BA1545"/>
    </row>
    <row r="1546" spans="53:53" x14ac:dyDescent="0.25">
      <c r="BA1546"/>
    </row>
    <row r="1547" spans="53:53" x14ac:dyDescent="0.25">
      <c r="BA1547"/>
    </row>
    <row r="1548" spans="53:53" x14ac:dyDescent="0.25">
      <c r="BA1548"/>
    </row>
    <row r="1549" spans="53:53" x14ac:dyDescent="0.25">
      <c r="BA1549"/>
    </row>
    <row r="1550" spans="53:53" x14ac:dyDescent="0.25">
      <c r="BA1550"/>
    </row>
    <row r="1551" spans="53:53" x14ac:dyDescent="0.25">
      <c r="BA1551"/>
    </row>
    <row r="1552" spans="53:53" x14ac:dyDescent="0.25">
      <c r="BA1552"/>
    </row>
    <row r="1553" spans="53:53" x14ac:dyDescent="0.25">
      <c r="BA1553"/>
    </row>
    <row r="1554" spans="53:53" x14ac:dyDescent="0.25">
      <c r="BA1554"/>
    </row>
    <row r="1555" spans="53:53" x14ac:dyDescent="0.25">
      <c r="BA1555"/>
    </row>
    <row r="1556" spans="53:53" x14ac:dyDescent="0.25">
      <c r="BA1556"/>
    </row>
    <row r="1557" spans="53:53" x14ac:dyDescent="0.25">
      <c r="BA1557"/>
    </row>
    <row r="1558" spans="53:53" x14ac:dyDescent="0.25">
      <c r="BA1558"/>
    </row>
    <row r="1559" spans="53:53" x14ac:dyDescent="0.25">
      <c r="BA1559"/>
    </row>
    <row r="1560" spans="53:53" x14ac:dyDescent="0.25">
      <c r="BA1560"/>
    </row>
    <row r="1561" spans="53:53" x14ac:dyDescent="0.25">
      <c r="BA1561"/>
    </row>
    <row r="1562" spans="53:53" x14ac:dyDescent="0.25">
      <c r="BA1562"/>
    </row>
    <row r="1563" spans="53:53" x14ac:dyDescent="0.25">
      <c r="BA1563"/>
    </row>
    <row r="1564" spans="53:53" x14ac:dyDescent="0.25">
      <c r="BA1564"/>
    </row>
    <row r="1565" spans="53:53" x14ac:dyDescent="0.25">
      <c r="BA1565"/>
    </row>
    <row r="1566" spans="53:53" x14ac:dyDescent="0.25">
      <c r="BA1566"/>
    </row>
    <row r="1567" spans="53:53" x14ac:dyDescent="0.25">
      <c r="BA1567"/>
    </row>
    <row r="1568" spans="53:53" x14ac:dyDescent="0.25">
      <c r="BA1568"/>
    </row>
    <row r="1569" spans="53:53" x14ac:dyDescent="0.25">
      <c r="BA1569"/>
    </row>
    <row r="1570" spans="53:53" x14ac:dyDescent="0.25">
      <c r="BA1570"/>
    </row>
    <row r="1571" spans="53:53" x14ac:dyDescent="0.25">
      <c r="BA1571"/>
    </row>
    <row r="1572" spans="53:53" x14ac:dyDescent="0.25">
      <c r="BA1572"/>
    </row>
    <row r="1573" spans="53:53" x14ac:dyDescent="0.25">
      <c r="BA1573"/>
    </row>
    <row r="1574" spans="53:53" x14ac:dyDescent="0.25">
      <c r="BA1574"/>
    </row>
    <row r="1575" spans="53:53" x14ac:dyDescent="0.25">
      <c r="BA1575"/>
    </row>
    <row r="1576" spans="53:53" x14ac:dyDescent="0.25">
      <c r="BA1576"/>
    </row>
    <row r="1577" spans="53:53" x14ac:dyDescent="0.25">
      <c r="BA1577"/>
    </row>
    <row r="1578" spans="53:53" x14ac:dyDescent="0.25">
      <c r="BA1578"/>
    </row>
    <row r="1579" spans="53:53" x14ac:dyDescent="0.25">
      <c r="BA1579"/>
    </row>
    <row r="1580" spans="53:53" x14ac:dyDescent="0.25">
      <c r="BA1580"/>
    </row>
    <row r="1581" spans="53:53" x14ac:dyDescent="0.25">
      <c r="BA1581"/>
    </row>
    <row r="1582" spans="53:53" x14ac:dyDescent="0.25">
      <c r="BA1582"/>
    </row>
    <row r="1583" spans="53:53" x14ac:dyDescent="0.25">
      <c r="BA1583"/>
    </row>
    <row r="1584" spans="53:53" x14ac:dyDescent="0.25">
      <c r="BA1584"/>
    </row>
    <row r="1585" spans="53:53" x14ac:dyDescent="0.25">
      <c r="BA1585"/>
    </row>
    <row r="1586" spans="53:53" x14ac:dyDescent="0.25">
      <c r="BA1586"/>
    </row>
    <row r="1587" spans="53:53" x14ac:dyDescent="0.25">
      <c r="BA1587"/>
    </row>
    <row r="1588" spans="53:53" x14ac:dyDescent="0.25">
      <c r="BA1588"/>
    </row>
    <row r="1589" spans="53:53" x14ac:dyDescent="0.25">
      <c r="BA1589"/>
    </row>
    <row r="1590" spans="53:53" x14ac:dyDescent="0.25">
      <c r="BA1590"/>
    </row>
    <row r="1591" spans="53:53" x14ac:dyDescent="0.25">
      <c r="BA1591"/>
    </row>
    <row r="1592" spans="53:53" x14ac:dyDescent="0.25">
      <c r="BA1592"/>
    </row>
    <row r="1593" spans="53:53" x14ac:dyDescent="0.25">
      <c r="BA1593"/>
    </row>
    <row r="1594" spans="53:53" x14ac:dyDescent="0.25">
      <c r="BA1594"/>
    </row>
    <row r="1595" spans="53:53" x14ac:dyDescent="0.25">
      <c r="BA1595"/>
    </row>
    <row r="1596" spans="53:53" x14ac:dyDescent="0.25">
      <c r="BA1596"/>
    </row>
    <row r="1597" spans="53:53" x14ac:dyDescent="0.25">
      <c r="BA1597"/>
    </row>
    <row r="1598" spans="53:53" x14ac:dyDescent="0.25">
      <c r="BA1598"/>
    </row>
    <row r="1599" spans="53:53" x14ac:dyDescent="0.25">
      <c r="BA1599"/>
    </row>
    <row r="1600" spans="53:53" x14ac:dyDescent="0.25">
      <c r="BA1600"/>
    </row>
    <row r="1601" spans="53:53" x14ac:dyDescent="0.25">
      <c r="BA1601"/>
    </row>
    <row r="1602" spans="53:53" x14ac:dyDescent="0.25">
      <c r="BA1602"/>
    </row>
    <row r="1603" spans="53:53" x14ac:dyDescent="0.25">
      <c r="BA1603"/>
    </row>
    <row r="1604" spans="53:53" x14ac:dyDescent="0.25">
      <c r="BA1604"/>
    </row>
    <row r="1605" spans="53:53" x14ac:dyDescent="0.25">
      <c r="BA1605"/>
    </row>
    <row r="1606" spans="53:53" x14ac:dyDescent="0.25">
      <c r="BA1606"/>
    </row>
    <row r="1607" spans="53:53" x14ac:dyDescent="0.25">
      <c r="BA1607"/>
    </row>
    <row r="1608" spans="53:53" x14ac:dyDescent="0.25">
      <c r="BA1608"/>
    </row>
    <row r="1609" spans="53:53" x14ac:dyDescent="0.25">
      <c r="BA1609"/>
    </row>
    <row r="1610" spans="53:53" x14ac:dyDescent="0.25">
      <c r="BA1610"/>
    </row>
    <row r="1611" spans="53:53" x14ac:dyDescent="0.25">
      <c r="BA1611"/>
    </row>
    <row r="1612" spans="53:53" x14ac:dyDescent="0.25">
      <c r="BA1612"/>
    </row>
    <row r="1613" spans="53:53" x14ac:dyDescent="0.25">
      <c r="BA1613"/>
    </row>
    <row r="1614" spans="53:53" x14ac:dyDescent="0.25">
      <c r="BA1614"/>
    </row>
    <row r="1615" spans="53:53" x14ac:dyDescent="0.25">
      <c r="BA1615"/>
    </row>
    <row r="1616" spans="53:53" x14ac:dyDescent="0.25">
      <c r="BA1616"/>
    </row>
    <row r="1617" spans="53:53" x14ac:dyDescent="0.25">
      <c r="BA1617"/>
    </row>
    <row r="1618" spans="53:53" x14ac:dyDescent="0.25">
      <c r="BA1618"/>
    </row>
    <row r="1619" spans="53:53" x14ac:dyDescent="0.25">
      <c r="BA1619"/>
    </row>
  </sheetData>
  <sheetProtection algorithmName="SHA-512" hashValue="pW8PFTI2BtDnVRpDHmfLjhPyyx6TKMwLTL/XbfiIvL6M+ECx4/ObQj6eLPQXoC7YUfUIX5g2O7QtYFF+iVvqPg==" saltValue="TGTSe9cp2z4OClXGouYSKw==" spinCount="100000" sheet="1" objects="1" scenarios="1"/>
  <mergeCells count="230">
    <mergeCell ref="X41:AE41"/>
    <mergeCell ref="X42:AE42"/>
    <mergeCell ref="X43:AE43"/>
    <mergeCell ref="X44:AE44"/>
    <mergeCell ref="X45:AE45"/>
    <mergeCell ref="X46:AE46"/>
    <mergeCell ref="X54:AE54"/>
    <mergeCell ref="X63:AE63"/>
    <mergeCell ref="AJ46:AN46"/>
    <mergeCell ref="AJ52:AM52"/>
    <mergeCell ref="AJ53:AM53"/>
    <mergeCell ref="AJ54:AM54"/>
    <mergeCell ref="AJ51:AN51"/>
    <mergeCell ref="X55:AE55"/>
    <mergeCell ref="X32:AE32"/>
    <mergeCell ref="X33:AE33"/>
    <mergeCell ref="X34:AE34"/>
    <mergeCell ref="X35:AE35"/>
    <mergeCell ref="X36:AE36"/>
    <mergeCell ref="X37:AE37"/>
    <mergeCell ref="X38:AE38"/>
    <mergeCell ref="X39:AE39"/>
    <mergeCell ref="X40:AE40"/>
    <mergeCell ref="C13:D13"/>
    <mergeCell ref="G13:H13"/>
    <mergeCell ref="C9:D9"/>
    <mergeCell ref="X56:AE56"/>
    <mergeCell ref="X57:AE57"/>
    <mergeCell ref="X58:AE58"/>
    <mergeCell ref="X59:AE59"/>
    <mergeCell ref="X60:AE60"/>
    <mergeCell ref="X61:AE61"/>
    <mergeCell ref="M54:T54"/>
    <mergeCell ref="M55:T55"/>
    <mergeCell ref="M56:T56"/>
    <mergeCell ref="M57:T57"/>
    <mergeCell ref="M58:T58"/>
    <mergeCell ref="M59:T59"/>
    <mergeCell ref="M60:T60"/>
    <mergeCell ref="M61:T61"/>
    <mergeCell ref="X24:AE24"/>
    <mergeCell ref="X26:AE26"/>
    <mergeCell ref="X27:AE27"/>
    <mergeCell ref="X28:AE28"/>
    <mergeCell ref="X29:AE29"/>
    <mergeCell ref="X30:AE30"/>
    <mergeCell ref="X31:AE31"/>
    <mergeCell ref="D34:J34"/>
    <mergeCell ref="D35:J35"/>
    <mergeCell ref="D36:J36"/>
    <mergeCell ref="D37:J37"/>
    <mergeCell ref="D38:J38"/>
    <mergeCell ref="D39:J39"/>
    <mergeCell ref="D55:J55"/>
    <mergeCell ref="D46:J46"/>
    <mergeCell ref="D40:J40"/>
    <mergeCell ref="D41:J41"/>
    <mergeCell ref="D42:J42"/>
    <mergeCell ref="D56:J56"/>
    <mergeCell ref="D57:J57"/>
    <mergeCell ref="D58:J58"/>
    <mergeCell ref="D59:J59"/>
    <mergeCell ref="D60:J60"/>
    <mergeCell ref="D61:J61"/>
    <mergeCell ref="D62:J62"/>
    <mergeCell ref="D63:J63"/>
    <mergeCell ref="AJ58:AN64"/>
    <mergeCell ref="X62:AE62"/>
    <mergeCell ref="M63:T63"/>
    <mergeCell ref="M62:T62"/>
    <mergeCell ref="Y64:AE64"/>
    <mergeCell ref="AP58:AT64"/>
    <mergeCell ref="AV58:AZ64"/>
    <mergeCell ref="D47:J47"/>
    <mergeCell ref="D48:J48"/>
    <mergeCell ref="D49:J49"/>
    <mergeCell ref="D50:J50"/>
    <mergeCell ref="D51:J51"/>
    <mergeCell ref="D52:J52"/>
    <mergeCell ref="D53:J53"/>
    <mergeCell ref="D54:J54"/>
    <mergeCell ref="M47:T47"/>
    <mergeCell ref="M48:T48"/>
    <mergeCell ref="M49:T49"/>
    <mergeCell ref="M50:T50"/>
    <mergeCell ref="M52:T52"/>
    <mergeCell ref="M53:T53"/>
    <mergeCell ref="X52:AE52"/>
    <mergeCell ref="X53:AE53"/>
    <mergeCell ref="M51:T51"/>
    <mergeCell ref="X49:AE49"/>
    <mergeCell ref="X50:AE50"/>
    <mergeCell ref="X51:AE51"/>
    <mergeCell ref="AL50:AN50"/>
    <mergeCell ref="AJ48:AK48"/>
    <mergeCell ref="M46:T46"/>
    <mergeCell ref="X47:AE47"/>
    <mergeCell ref="X48:AE48"/>
    <mergeCell ref="D45:J45"/>
    <mergeCell ref="M45:T45"/>
    <mergeCell ref="D43:J43"/>
    <mergeCell ref="D44:J44"/>
    <mergeCell ref="M43:T43"/>
    <mergeCell ref="M44:T44"/>
    <mergeCell ref="M40:T40"/>
    <mergeCell ref="M41:T41"/>
    <mergeCell ref="M42:T42"/>
    <mergeCell ref="M38:T38"/>
    <mergeCell ref="M39:T39"/>
    <mergeCell ref="M35:T35"/>
    <mergeCell ref="M36:T36"/>
    <mergeCell ref="M37:T37"/>
    <mergeCell ref="M34:T34"/>
    <mergeCell ref="M32:T32"/>
    <mergeCell ref="M33:T33"/>
    <mergeCell ref="M29:T29"/>
    <mergeCell ref="M30:T30"/>
    <mergeCell ref="M31:T31"/>
    <mergeCell ref="M27:T27"/>
    <mergeCell ref="M28:T28"/>
    <mergeCell ref="C19:D19"/>
    <mergeCell ref="G19:H19"/>
    <mergeCell ref="O19:P19"/>
    <mergeCell ref="S19:T19"/>
    <mergeCell ref="C24:K24"/>
    <mergeCell ref="M24:U24"/>
    <mergeCell ref="M26:T26"/>
    <mergeCell ref="D32:J32"/>
    <mergeCell ref="D33:J33"/>
    <mergeCell ref="D26:J26"/>
    <mergeCell ref="D27:J27"/>
    <mergeCell ref="D28:J28"/>
    <mergeCell ref="D29:J29"/>
    <mergeCell ref="D30:J30"/>
    <mergeCell ref="D31:J31"/>
    <mergeCell ref="K17:L17"/>
    <mergeCell ref="O17:P17"/>
    <mergeCell ref="S17:T17"/>
    <mergeCell ref="C18:D18"/>
    <mergeCell ref="G18:H18"/>
    <mergeCell ref="K18:L18"/>
    <mergeCell ref="O18:P18"/>
    <mergeCell ref="S18:T18"/>
    <mergeCell ref="W14:X14"/>
    <mergeCell ref="D16:E16"/>
    <mergeCell ref="L16:M16"/>
    <mergeCell ref="P16:Q16"/>
    <mergeCell ref="H16:I16"/>
    <mergeCell ref="C17:D17"/>
    <mergeCell ref="G17:H17"/>
    <mergeCell ref="K13:L13"/>
    <mergeCell ref="O13:P13"/>
    <mergeCell ref="S13:T13"/>
    <mergeCell ref="W13:X13"/>
    <mergeCell ref="T12:U12"/>
    <mergeCell ref="T16:U16"/>
    <mergeCell ref="AB12:AC12"/>
    <mergeCell ref="AA13:AB13"/>
    <mergeCell ref="AA14:AB14"/>
    <mergeCell ref="O9:P9"/>
    <mergeCell ref="C10:D10"/>
    <mergeCell ref="O10:P10"/>
    <mergeCell ref="W9:X9"/>
    <mergeCell ref="D12:E12"/>
    <mergeCell ref="L12:M12"/>
    <mergeCell ref="P12:Q12"/>
    <mergeCell ref="X12:Y12"/>
    <mergeCell ref="W7:X7"/>
    <mergeCell ref="C8:D8"/>
    <mergeCell ref="G8:H8"/>
    <mergeCell ref="O8:P8"/>
    <mergeCell ref="C7:D7"/>
    <mergeCell ref="G7:H7"/>
    <mergeCell ref="K7:L7"/>
    <mergeCell ref="O7:P7"/>
    <mergeCell ref="S7:T7"/>
    <mergeCell ref="W8:X8"/>
    <mergeCell ref="H12:I12"/>
    <mergeCell ref="AK1:AZ2"/>
    <mergeCell ref="C2:L4"/>
    <mergeCell ref="O2:U2"/>
    <mergeCell ref="W2:X2"/>
    <mergeCell ref="W3:X3"/>
    <mergeCell ref="AJ3:AL3"/>
    <mergeCell ref="AM3:AR4"/>
    <mergeCell ref="AL5:AZ5"/>
    <mergeCell ref="L6:M6"/>
    <mergeCell ref="P6:Q6"/>
    <mergeCell ref="X6:Y6"/>
    <mergeCell ref="T6:U6"/>
    <mergeCell ref="H6:I6"/>
    <mergeCell ref="AJ28:AN28"/>
    <mergeCell ref="AP28:AT28"/>
    <mergeCell ref="AV28:AZ28"/>
    <mergeCell ref="AJ56:AN56"/>
    <mergeCell ref="AP56:AT56"/>
    <mergeCell ref="AV56:AZ56"/>
    <mergeCell ref="AV51:AZ51"/>
    <mergeCell ref="AV52:AY52"/>
    <mergeCell ref="AV53:AY53"/>
    <mergeCell ref="AV54:AY54"/>
    <mergeCell ref="AQ40:AS44"/>
    <mergeCell ref="AL47:AN47"/>
    <mergeCell ref="AJ47:AK47"/>
    <mergeCell ref="AL48:AN48"/>
    <mergeCell ref="AL49:AN49"/>
    <mergeCell ref="AP46:AT46"/>
    <mergeCell ref="AV46:AZ46"/>
    <mergeCell ref="AP51:AT51"/>
    <mergeCell ref="AP52:AS52"/>
    <mergeCell ref="AP53:AS53"/>
    <mergeCell ref="AP54:AS54"/>
    <mergeCell ref="AV47:AW47"/>
    <mergeCell ref="AX47:AZ47"/>
    <mergeCell ref="AV48:AW48"/>
    <mergeCell ref="AX48:AZ48"/>
    <mergeCell ref="AV49:AW49"/>
    <mergeCell ref="AX49:AZ49"/>
    <mergeCell ref="AV50:AW50"/>
    <mergeCell ref="AX50:AZ50"/>
    <mergeCell ref="AJ49:AK49"/>
    <mergeCell ref="AJ50:AK50"/>
    <mergeCell ref="AP47:AQ47"/>
    <mergeCell ref="AR47:AT47"/>
    <mergeCell ref="AP48:AQ48"/>
    <mergeCell ref="AR48:AT48"/>
    <mergeCell ref="AP49:AQ49"/>
    <mergeCell ref="AR49:AT49"/>
    <mergeCell ref="AP50:AQ50"/>
    <mergeCell ref="AR50:AT50"/>
  </mergeCells>
  <conditionalFormatting sqref="E7:E10">
    <cfRule type="containsBlanks" dxfId="228" priority="603">
      <formula>LEN(TRIM(E7))=0</formula>
    </cfRule>
  </conditionalFormatting>
  <conditionalFormatting sqref="E13">
    <cfRule type="containsBlanks" dxfId="217" priority="595">
      <formula>LEN(TRIM(E13))=0</formula>
    </cfRule>
  </conditionalFormatting>
  <conditionalFormatting sqref="E17:E19">
    <cfRule type="containsBlanks" dxfId="211" priority="716">
      <formula>LEN(TRIM(E17))=0</formula>
    </cfRule>
  </conditionalFormatting>
  <conditionalFormatting sqref="I7:I8">
    <cfRule type="containsBlanks" dxfId="210" priority="602">
      <formula>LEN(TRIM(I7))=0</formula>
    </cfRule>
  </conditionalFormatting>
  <conditionalFormatting sqref="I13">
    <cfRule type="containsBlanks" dxfId="199" priority="594">
      <formula>LEN(TRIM(I13))=0</formula>
    </cfRule>
  </conditionalFormatting>
  <conditionalFormatting sqref="I17:I19">
    <cfRule type="containsBlanks" dxfId="194" priority="588">
      <formula>LEN(TRIM(I17))=0</formula>
    </cfRule>
  </conditionalFormatting>
  <conditionalFormatting sqref="K26:K63 U26:U63">
    <cfRule type="expression" dxfId="192" priority="2">
      <formula>L26=3.5</formula>
    </cfRule>
    <cfRule type="expression" dxfId="191" priority="3">
      <formula>L26=3</formula>
    </cfRule>
    <cfRule type="expression" dxfId="190" priority="4">
      <formula>L26=2.5</formula>
    </cfRule>
    <cfRule type="expression" dxfId="189" priority="5">
      <formula>L26=2</formula>
    </cfRule>
    <cfRule type="expression" dxfId="188" priority="1">
      <formula>L26=4</formula>
    </cfRule>
    <cfRule type="expression" dxfId="187" priority="8">
      <formula>L26=0</formula>
    </cfRule>
    <cfRule type="expression" dxfId="186" priority="7">
      <formula>L26=1</formula>
    </cfRule>
    <cfRule type="expression" dxfId="185" priority="6">
      <formula>L26=1.5</formula>
    </cfRule>
  </conditionalFormatting>
  <conditionalFormatting sqref="M13">
    <cfRule type="containsBlanks" dxfId="175" priority="593">
      <formula>LEN(TRIM(M13))=0</formula>
    </cfRule>
  </conditionalFormatting>
  <conditionalFormatting sqref="M17:M18">
    <cfRule type="containsBlanks" dxfId="172" priority="587">
      <formula>LEN(TRIM(M17))=0</formula>
    </cfRule>
  </conditionalFormatting>
  <conditionalFormatting sqref="Q7:Q10">
    <cfRule type="containsBlanks" dxfId="166" priority="600">
      <formula>LEN(TRIM(Q7))=0</formula>
    </cfRule>
  </conditionalFormatting>
  <conditionalFormatting sqref="Q13">
    <cfRule type="containsBlanks" dxfId="158" priority="592">
      <formula>LEN(TRIM(Q13))=0</formula>
    </cfRule>
  </conditionalFormatting>
  <conditionalFormatting sqref="Q17:Q19">
    <cfRule type="containsBlanks" dxfId="152" priority="586">
      <formula>LEN(TRIM(Q17))=0</formula>
    </cfRule>
  </conditionalFormatting>
  <conditionalFormatting sqref="U7">
    <cfRule type="containsBlanks" dxfId="149" priority="513">
      <formula>LEN(TRIM(U7))=0</formula>
    </cfRule>
  </conditionalFormatting>
  <conditionalFormatting sqref="U17:U19">
    <cfRule type="containsBlanks" dxfId="143" priority="585">
      <formula>LEN(TRIM(U17))=0</formula>
    </cfRule>
  </conditionalFormatting>
  <conditionalFormatting sqref="X26:X63 Y64">
    <cfRule type="containsBlanks" dxfId="137" priority="686">
      <formula>LEN(TRIM(X26))=0</formula>
    </cfRule>
  </conditionalFormatting>
  <conditionalFormatting sqref="Y7:Y9 U13">
    <cfRule type="containsBlanks" dxfId="136" priority="590">
      <formula>LEN(TRIM(U7))=0</formula>
    </cfRule>
  </conditionalFormatting>
  <conditionalFormatting sqref="Y13:Y14 AC13:AC14">
    <cfRule type="containsBlanks" dxfId="130" priority="589">
      <formula>LEN(TRIM(Y13))=0</formula>
    </cfRule>
  </conditionalFormatting>
  <conditionalFormatting sqref="AN65">
    <cfRule type="expression" dxfId="100" priority="15686">
      <formula>$AS$41=0</formula>
    </cfRule>
  </conditionalFormatting>
  <conditionalFormatting sqref="AR30:AR38">
    <cfRule type="containsBlanks" dxfId="95" priority="216">
      <formula>LEN(TRIM(AR30))=0</formula>
    </cfRule>
  </conditionalFormatting>
  <conditionalFormatting sqref="AX30:AX43">
    <cfRule type="containsBlanks" dxfId="70" priority="207">
      <formula>LEN(TRIM(AX30))=0</formula>
    </cfRule>
  </conditionalFormatting>
  <printOptions verticalCentered="1"/>
  <pageMargins left="0" right="0" top="0" bottom="0" header="0" footer="0"/>
  <pageSetup paperSize="9" scale="44" fitToWidth="0" orientation="portrait" horizontalDpi="4294967293" r:id="rId1"/>
  <colBreaks count="1" manualBreakCount="1">
    <brk id="33"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73" id="{20AC124D-1E6B-4A5D-8FBE-46CCE03C4A3D}">
            <xm:f>Calculation!$F3=0</xm:f>
            <x14:dxf>
              <fill>
                <patternFill>
                  <bgColor theme="0"/>
                </patternFill>
              </fill>
            </x14:dxf>
          </x14:cfRule>
          <x14:cfRule type="expression" priority="682" id="{A7251618-DAF9-4092-9181-640162EE45DD}">
            <xm:f>Calculation!$F3=4</xm:f>
            <x14:dxf>
              <fill>
                <patternFill>
                  <bgColor rgb="FF92D050"/>
                </patternFill>
              </fill>
            </x14:dxf>
          </x14:cfRule>
          <x14:cfRule type="expression" priority="683" id="{B639DF0A-75B1-44E0-9F84-41A03113DEB3}">
            <xm:f>Calculation!$F3=3</xm:f>
            <x14:dxf>
              <fill>
                <patternFill>
                  <bgColor rgb="FFFFFF00"/>
                </patternFill>
              </fill>
            </x14:dxf>
          </x14:cfRule>
          <x14:cfRule type="expression" priority="684" id="{19145D75-B066-448D-9A19-94CE75164B63}">
            <xm:f>Calculation!$F3=2</xm:f>
            <x14:dxf>
              <fill>
                <patternFill>
                  <bgColor rgb="FFFFC000"/>
                </patternFill>
              </fill>
            </x14:dxf>
          </x14:cfRule>
          <x14:cfRule type="expression" priority="685" id="{2B65188C-6EB8-4290-8021-5F61D3B6F90D}">
            <xm:f>Calculation!$F3=1</xm:f>
            <x14:dxf>
              <fill>
                <patternFill>
                  <bgColor rgb="FFFF0000"/>
                </patternFill>
              </fill>
            </x14:dxf>
          </x14:cfRule>
          <xm:sqref>E7:E10</xm:sqref>
        </x14:conditionalFormatting>
        <x14:conditionalFormatting xmlns:xm="http://schemas.microsoft.com/office/excel/2006/main">
          <x14:cfRule type="expression" priority="613" id="{0B6FF91A-E931-4899-8D91-A9BE74EB1C9D}">
            <xm:f>Calculation!$F18=2</xm:f>
            <x14:dxf>
              <fill>
                <patternFill>
                  <bgColor rgb="FFFFC000"/>
                </patternFill>
              </fill>
            </x14:dxf>
          </x14:cfRule>
          <x14:cfRule type="expression" priority="614" id="{0169D404-D86F-4A1E-A482-708FB10C73E3}">
            <xm:f>Calculation!$F18=1</xm:f>
            <x14:dxf>
              <fill>
                <patternFill>
                  <bgColor rgb="FFFF0000"/>
                </patternFill>
              </fill>
            </x14:dxf>
          </x14:cfRule>
          <x14:cfRule type="expression" priority="611" id="{281A7E97-B78B-4113-85B3-99A267F12041}">
            <xm:f>Calculation!$F18=4</xm:f>
            <x14:dxf>
              <fill>
                <patternFill>
                  <bgColor rgb="FF92D050"/>
                </patternFill>
              </fill>
            </x14:dxf>
          </x14:cfRule>
          <x14:cfRule type="expression" priority="610" id="{9A8B63A8-68A5-4A22-81BA-83031850836E}">
            <xm:f>Calculation!$F18=0</xm:f>
            <x14:dxf>
              <fill>
                <patternFill>
                  <bgColor theme="0"/>
                </patternFill>
              </fill>
            </x14:dxf>
          </x14:cfRule>
          <x14:cfRule type="expression" priority="612" id="{E8E9FA15-C729-47CC-9171-C7CD35532676}">
            <xm:f>Calculation!$F18=3</xm:f>
            <x14:dxf>
              <fill>
                <patternFill>
                  <bgColor rgb="FFFFFF00"/>
                </patternFill>
              </fill>
            </x14:dxf>
          </x14:cfRule>
          <xm:sqref>E13</xm:sqref>
        </x14:conditionalFormatting>
        <x14:conditionalFormatting xmlns:xm="http://schemas.microsoft.com/office/excel/2006/main">
          <x14:cfRule type="expression" priority="715" id="{75F40B2D-D695-4949-94A0-42AD40D701F5}">
            <xm:f>Calculation!F27=4</xm:f>
            <x14:dxf>
              <fill>
                <patternFill>
                  <bgColor rgb="FF92D050"/>
                </patternFill>
              </fill>
            </x14:dxf>
          </x14:cfRule>
          <x14:cfRule type="expression" priority="714" id="{5B301C76-98BE-4B3C-8836-A4C2EFBBC3CF}">
            <xm:f>Calculation!F27=1</xm:f>
            <x14:dxf>
              <fill>
                <patternFill>
                  <bgColor rgb="FFFF0000"/>
                </patternFill>
              </fill>
            </x14:dxf>
          </x14:cfRule>
          <x14:cfRule type="expression" priority="713" id="{508E66EA-223E-4BB9-BBD5-9A163922A07E}">
            <xm:f>Calculation!F27=2</xm:f>
            <x14:dxf>
              <fill>
                <patternFill>
                  <bgColor rgb="FFFFC000"/>
                </patternFill>
              </fill>
            </x14:dxf>
          </x14:cfRule>
          <x14:cfRule type="expression" priority="712" id="{62C13C8E-BF29-4F29-A773-1FB7F07E6E9B}">
            <xm:f>Calculation!F27=3</xm:f>
            <x14:dxf>
              <fill>
                <patternFill>
                  <bgColor rgb="FFFFFF00"/>
                </patternFill>
              </fill>
            </x14:dxf>
          </x14:cfRule>
          <x14:cfRule type="expression" priority="711" id="{6249C0A4-A1DD-481B-95A2-B068AF7ED36F}">
            <xm:f>Calculation!F27=0</xm:f>
            <x14:dxf>
              <fill>
                <patternFill>
                  <bgColor theme="0"/>
                </patternFill>
              </fill>
            </x14:dxf>
          </x14:cfRule>
          <xm:sqref>E17:E19</xm:sqref>
        </x14:conditionalFormatting>
        <x14:conditionalFormatting xmlns:xm="http://schemas.microsoft.com/office/excel/2006/main">
          <x14:cfRule type="expression" priority="672" id="{896FD21C-C3DE-4777-BD10-803C1061A110}">
            <xm:f>Calculation!$F7=0</xm:f>
            <x14:dxf>
              <fill>
                <patternFill>
                  <bgColor theme="0"/>
                </patternFill>
              </fill>
            </x14:dxf>
          </x14:cfRule>
          <x14:cfRule type="expression" priority="678" id="{2E518E8E-94B9-4C18-AFCA-FF89BAEEF9E7}">
            <xm:f>Calculation!$F7=4</xm:f>
            <x14:dxf>
              <fill>
                <patternFill>
                  <bgColor rgb="FF92D050"/>
                </patternFill>
              </fill>
            </x14:dxf>
          </x14:cfRule>
          <x14:cfRule type="expression" priority="679" id="{F09CE94C-1A2D-40FD-8496-F62A6AA26EEF}">
            <xm:f>Calculation!F7=3</xm:f>
            <x14:dxf>
              <fill>
                <patternFill>
                  <bgColor rgb="FFFFFF00"/>
                </patternFill>
              </fill>
            </x14:dxf>
          </x14:cfRule>
          <x14:cfRule type="expression" priority="680" id="{2829D7DF-B31E-469A-B079-E1AACD96CE2A}">
            <xm:f>Calculation!F7=2</xm:f>
            <x14:dxf>
              <fill>
                <patternFill>
                  <bgColor rgb="FFFFC000"/>
                </patternFill>
              </fill>
            </x14:dxf>
          </x14:cfRule>
          <x14:cfRule type="expression" priority="681" id="{B5E484E5-EF1E-4549-B753-5DC2B2B9E1D6}">
            <xm:f>Calculation!F7=1</xm:f>
            <x14:dxf>
              <fill>
                <patternFill>
                  <bgColor rgb="FFFF0000"/>
                </patternFill>
              </fill>
            </x14:dxf>
          </x14:cfRule>
          <xm:sqref>I7:I8</xm:sqref>
        </x14:conditionalFormatting>
        <x14:conditionalFormatting xmlns:xm="http://schemas.microsoft.com/office/excel/2006/main">
          <x14:cfRule type="expression" priority="609" id="{B56EEF03-A1E6-4155-9CC2-D2E751088FAA}">
            <xm:f>Calculation!$F19=1</xm:f>
            <x14:dxf>
              <fill>
                <patternFill>
                  <bgColor rgb="FFFF0000"/>
                </patternFill>
              </fill>
            </x14:dxf>
          </x14:cfRule>
          <x14:cfRule type="expression" priority="608" id="{DC970714-DEB3-4DB5-A01D-8704D1EC6783}">
            <xm:f>Calculation!$F19=2</xm:f>
            <x14:dxf>
              <fill>
                <patternFill>
                  <bgColor rgb="FFFFC000"/>
                </patternFill>
              </fill>
            </x14:dxf>
          </x14:cfRule>
          <x14:cfRule type="expression" priority="607" id="{A2B862FE-B3D0-430E-8FB8-FB61A6D8138A}">
            <xm:f>Calculation!$F19=3</xm:f>
            <x14:dxf>
              <fill>
                <patternFill>
                  <bgColor rgb="FFFFFF00"/>
                </patternFill>
              </fill>
            </x14:dxf>
          </x14:cfRule>
          <x14:cfRule type="expression" priority="606" id="{AA449001-46BF-4A85-B114-0763D9D1FD1A}">
            <xm:f>Calculation!$F19=4</xm:f>
            <x14:dxf>
              <fill>
                <patternFill>
                  <bgColor rgb="FF92D050"/>
                </patternFill>
              </fill>
            </x14:dxf>
          </x14:cfRule>
          <x14:cfRule type="expression" priority="605" id="{B0FFD88E-37FF-4B8F-9678-3357E351E1C6}">
            <xm:f>Calculation!$F19=0</xm:f>
            <x14:dxf>
              <fill>
                <patternFill>
                  <bgColor theme="0"/>
                </patternFill>
              </fill>
            </x14:dxf>
          </x14:cfRule>
          <xm:sqref>I13</xm:sqref>
        </x14:conditionalFormatting>
        <x14:conditionalFormatting xmlns:xm="http://schemas.microsoft.com/office/excel/2006/main">
          <x14:cfRule type="expression" priority="698" id="{BB40F222-ED8B-438F-9D44-19B5999FC966}">
            <xm:f>Calculation!$F30=1</xm:f>
            <x14:dxf>
              <fill>
                <patternFill>
                  <bgColor rgb="FFFF0000"/>
                </patternFill>
              </fill>
            </x14:dxf>
          </x14:cfRule>
          <x14:cfRule type="expression" priority="697" id="{6D513E8E-2BBB-4743-B060-F01782050DB3}">
            <xm:f>Calculation!$F30=2</xm:f>
            <x14:dxf>
              <fill>
                <patternFill>
                  <bgColor rgb="FFFFC000"/>
                </patternFill>
              </fill>
            </x14:dxf>
          </x14:cfRule>
          <x14:cfRule type="expression" priority="696" id="{04657AB7-4522-4C7D-9D40-066BACBA5D24}">
            <xm:f>Calculation!$F30=3</xm:f>
            <x14:dxf>
              <fill>
                <patternFill>
                  <bgColor rgb="FFFFFF00"/>
                </patternFill>
              </fill>
            </x14:dxf>
          </x14:cfRule>
          <x14:cfRule type="expression" priority="695" id="{E1C8D10C-F41F-4D74-877B-D84BB301F51A}">
            <xm:f>Calculation!$F30=0</xm:f>
            <x14:dxf>
              <fill>
                <patternFill>
                  <bgColor theme="0"/>
                </patternFill>
              </fill>
            </x14:dxf>
          </x14:cfRule>
          <x14:cfRule type="expression" priority="699" id="{A4A7BC95-7589-4C08-B01F-7C092D951156}">
            <xm:f>Calculation!$F30=4</xm:f>
            <x14:dxf>
              <fill>
                <patternFill>
                  <bgColor rgb="FF92D050"/>
                </patternFill>
              </fill>
            </x14:dxf>
          </x14:cfRule>
          <xm:sqref>I17:I19</xm:sqref>
        </x14:conditionalFormatting>
        <x14:conditionalFormatting xmlns:xm="http://schemas.microsoft.com/office/excel/2006/main">
          <x14:cfRule type="expression" priority="9900" id="{8D95A67C-D64A-41D2-B0A4-8528BF7EB4CE}">
            <xm:f>Calculation!#REF!=4</xm:f>
            <x14:dxf>
              <fill>
                <patternFill>
                  <bgColor rgb="FF92D050"/>
                </patternFill>
              </fill>
            </x14:dxf>
          </x14:cfRule>
          <x14:cfRule type="expression" priority="9901" id="{331EE482-9321-4CB1-A703-D727975E9B5A}">
            <xm:f>Calculation!#REF!=3</xm:f>
            <x14:dxf>
              <fill>
                <patternFill>
                  <bgColor rgb="FFFFFF00"/>
                </patternFill>
              </fill>
            </x14:dxf>
          </x14:cfRule>
          <x14:cfRule type="expression" priority="9902" id="{43BF57FA-EC45-477F-852D-5C0B63FB9DC8}">
            <xm:f>Calculation!#REF!=2</xm:f>
            <x14:dxf>
              <fill>
                <patternFill>
                  <bgColor rgb="FFFFC000"/>
                </patternFill>
              </fill>
            </x14:dxf>
          </x14:cfRule>
          <x14:cfRule type="expression" priority="9903" id="{1D7964CE-CE5D-4810-B4C5-C336383F7995}">
            <xm:f>Calculation!#REF!=1</xm:f>
            <x14:dxf>
              <fill>
                <patternFill>
                  <bgColor rgb="FFFF0000"/>
                </patternFill>
              </fill>
            </x14:dxf>
          </x14:cfRule>
          <x14:cfRule type="expression" priority="9904" id="{F48BD5A0-30E2-41F7-87AD-972303AF8B3F}">
            <xm:f>Calculation!#REF!=0</xm:f>
            <x14:dxf>
              <fill>
                <patternFill>
                  <bgColor theme="0"/>
                </patternFill>
              </fill>
            </x14:dxf>
          </x14:cfRule>
          <xm:sqref>M7</xm:sqref>
        </x14:conditionalFormatting>
        <x14:conditionalFormatting xmlns:xm="http://schemas.microsoft.com/office/excel/2006/main">
          <x14:cfRule type="expression" priority="694" id="{73D46811-584F-4BEA-BF89-59DC0E56C65B}">
            <xm:f>Calculation!$F20=1</xm:f>
            <x14:dxf>
              <fill>
                <patternFill>
                  <bgColor rgb="FFFF0000"/>
                </patternFill>
              </fill>
            </x14:dxf>
          </x14:cfRule>
          <x14:cfRule type="expression" priority="693" id="{7268AE0C-D64F-49C4-AAE0-84D7CD722673}">
            <xm:f>Calculation!$F20=2</xm:f>
            <x14:dxf>
              <fill>
                <patternFill>
                  <bgColor rgb="FFFFC000"/>
                </patternFill>
              </fill>
            </x14:dxf>
          </x14:cfRule>
          <x14:cfRule type="expression" priority="692" id="{91FB1BEC-6BC9-45CC-B3BE-6508705EADBD}">
            <xm:f>Calculation!$F20=3</xm:f>
            <x14:dxf>
              <fill>
                <patternFill>
                  <bgColor rgb="FFFFFF00"/>
                </patternFill>
              </fill>
            </x14:dxf>
          </x14:cfRule>
          <x14:cfRule type="expression" priority="691" id="{BA3D21CA-B689-411C-8F32-CFF954863D6B}">
            <xm:f>Calculation!$F20=0</xm:f>
            <x14:dxf>
              <fill>
                <patternFill>
                  <bgColor theme="0"/>
                </patternFill>
              </fill>
            </x14:dxf>
          </x14:cfRule>
          <x14:cfRule type="expression" priority="710" id="{EFB51B9A-D809-4DC1-AF7D-B875270E973F}">
            <xm:f>Calculation!$F20=4</xm:f>
            <x14:dxf>
              <fill>
                <patternFill>
                  <bgColor rgb="FF92D050"/>
                </patternFill>
              </fill>
            </x14:dxf>
          </x14:cfRule>
          <xm:sqref>M13</xm:sqref>
        </x14:conditionalFormatting>
        <x14:conditionalFormatting xmlns:xm="http://schemas.microsoft.com/office/excel/2006/main">
          <x14:cfRule type="expression" priority="644" id="{700A36C8-498A-497A-9195-1163FCFDC09C}">
            <xm:f>Calculation!$F33=4</xm:f>
            <x14:dxf>
              <fill>
                <patternFill>
                  <bgColor rgb="FF92D050"/>
                </patternFill>
              </fill>
            </x14:dxf>
          </x14:cfRule>
          <x14:cfRule type="expression" priority="643" id="{650AB628-350B-48D1-B83E-A7F194117741}">
            <xm:f>Calculation!$F33=1</xm:f>
            <x14:dxf>
              <fill>
                <patternFill>
                  <bgColor rgb="FFFF0000"/>
                </patternFill>
              </fill>
            </x14:dxf>
          </x14:cfRule>
          <x14:cfRule type="expression" priority="642" id="{F91C6EE8-9D53-47C3-B65C-C54DC65BFD3E}">
            <xm:f>Calculation!$F33=2</xm:f>
            <x14:dxf>
              <fill>
                <patternFill>
                  <bgColor rgb="FFFFC000"/>
                </patternFill>
              </fill>
            </x14:dxf>
          </x14:cfRule>
          <x14:cfRule type="expression" priority="641" id="{309AE1C2-0FC1-4B70-9A70-DDC970389B38}">
            <xm:f>Calculation!$F33=3</xm:f>
            <x14:dxf>
              <fill>
                <patternFill>
                  <bgColor rgb="FFFFFF00"/>
                </patternFill>
              </fill>
            </x14:dxf>
          </x14:cfRule>
          <x14:cfRule type="expression" priority="640" id="{DC4CB2CB-09D2-4733-9D26-5DC68C7188EC}">
            <xm:f>Calculation!$F33=0</xm:f>
            <x14:dxf>
              <fill>
                <patternFill>
                  <bgColor theme="0"/>
                </patternFill>
              </fill>
            </x14:dxf>
          </x14:cfRule>
          <xm:sqref>M17:M18</xm:sqref>
        </x14:conditionalFormatting>
        <x14:conditionalFormatting xmlns:xm="http://schemas.microsoft.com/office/excel/2006/main">
          <x14:cfRule type="expression" priority="627" id="{2E31C7E0-2046-41A2-B498-4D1451AA3A9E}">
            <xm:f>Calculation!$F10=2</xm:f>
            <x14:dxf>
              <fill>
                <patternFill>
                  <bgColor rgb="FFFFC000"/>
                </patternFill>
              </fill>
            </x14:dxf>
          </x14:cfRule>
          <x14:cfRule type="expression" priority="626" id="{17BE1353-E361-475B-AB34-A2931E2278ED}">
            <xm:f>Calculation!$F10=3</xm:f>
            <x14:dxf>
              <fill>
                <patternFill>
                  <bgColor rgb="FFFFFF00"/>
                </patternFill>
              </fill>
            </x14:dxf>
          </x14:cfRule>
          <x14:cfRule type="expression" priority="625" id="{3F1AA494-1EF3-4A53-A192-6E278C340A50}">
            <xm:f>Calculation!$F10=4</xm:f>
            <x14:dxf>
              <fill>
                <patternFill>
                  <bgColor rgb="FF92D050"/>
                </patternFill>
              </fill>
            </x14:dxf>
          </x14:cfRule>
          <x14:cfRule type="expression" priority="629" id="{870E1FD6-A952-4FAA-8230-59A83FA8EE10}">
            <xm:f>Calculation!$F10=0</xm:f>
            <x14:dxf>
              <fill>
                <patternFill>
                  <bgColor theme="0"/>
                </patternFill>
              </fill>
            </x14:dxf>
          </x14:cfRule>
          <x14:cfRule type="expression" priority="628" id="{7F6A4BB1-3F2F-4C8B-A0AD-4FB7587E5630}">
            <xm:f>Calculation!$F10=1</xm:f>
            <x14:dxf>
              <fill>
                <patternFill>
                  <bgColor rgb="FFFF0000"/>
                </patternFill>
              </fill>
            </x14:dxf>
          </x14:cfRule>
          <xm:sqref>Q7:Q10</xm:sqref>
        </x14:conditionalFormatting>
        <x14:conditionalFormatting xmlns:xm="http://schemas.microsoft.com/office/excel/2006/main">
          <x14:cfRule type="expression" priority="656" id="{6529E6EB-02D4-46F5-8544-5E712FF98160}">
            <xm:f>Calculation!$F21=3</xm:f>
            <x14:dxf>
              <fill>
                <patternFill>
                  <bgColor rgb="FFFFFF00"/>
                </patternFill>
              </fill>
            </x14:dxf>
          </x14:cfRule>
          <x14:cfRule type="expression" priority="655" id="{ED3C01A2-6AA6-425B-97F2-A87AAA175ACE}">
            <xm:f>Calculation!$F21=0</xm:f>
            <x14:dxf>
              <fill>
                <patternFill>
                  <bgColor theme="0"/>
                </patternFill>
              </fill>
            </x14:dxf>
          </x14:cfRule>
          <x14:cfRule type="expression" priority="658" id="{7A9B69C3-0D6B-465C-B06A-894E1E74C413}">
            <xm:f>Calculation!$F21=1</xm:f>
            <x14:dxf>
              <fill>
                <patternFill>
                  <bgColor rgb="FFFF0000"/>
                </patternFill>
              </fill>
            </x14:dxf>
          </x14:cfRule>
          <x14:cfRule type="expression" priority="657" id="{D014888B-6148-48FA-8CC4-BCEF913A8878}">
            <xm:f>Calculation!$F21=2</xm:f>
            <x14:dxf>
              <fill>
                <patternFill>
                  <bgColor rgb="FFFFC000"/>
                </patternFill>
              </fill>
            </x14:dxf>
          </x14:cfRule>
          <x14:cfRule type="expression" priority="659" id="{2005C9B0-E21E-4438-8513-76E2E609ABE4}">
            <xm:f>Calculation!$F21=4</xm:f>
            <x14:dxf>
              <fill>
                <patternFill>
                  <bgColor rgb="FF92D050"/>
                </patternFill>
              </fill>
            </x14:dxf>
          </x14:cfRule>
          <xm:sqref>Q13</xm:sqref>
        </x14:conditionalFormatting>
        <x14:conditionalFormatting xmlns:xm="http://schemas.microsoft.com/office/excel/2006/main">
          <x14:cfRule type="expression" priority="637" id="{DDFDD28B-1B73-4739-A579-0CB879C1E396}">
            <xm:f>Calculation!$F35=2</xm:f>
            <x14:dxf>
              <fill>
                <patternFill>
                  <bgColor rgb="FFFFC000"/>
                </patternFill>
              </fill>
            </x14:dxf>
          </x14:cfRule>
          <x14:cfRule type="expression" priority="638" id="{9B450150-8DD0-47F8-9BCC-F7EBA64FDB9E}">
            <xm:f>Calculation!$F35=1</xm:f>
            <x14:dxf>
              <fill>
                <patternFill>
                  <bgColor rgb="FFFF0000"/>
                </patternFill>
              </fill>
            </x14:dxf>
          </x14:cfRule>
          <x14:cfRule type="expression" priority="639" id="{50D4CE0D-7BB0-4AAA-9A94-E5A68DC28E45}">
            <xm:f>Calculation!$F35=4</xm:f>
            <x14:dxf>
              <fill>
                <patternFill>
                  <bgColor rgb="FF92D050"/>
                </patternFill>
              </fill>
            </x14:dxf>
          </x14:cfRule>
          <x14:cfRule type="expression" priority="635" id="{E840AA2E-1AE4-4524-96FD-E2FF1DF5A60C}">
            <xm:f>Calculation!$F35=0</xm:f>
            <x14:dxf>
              <fill>
                <patternFill>
                  <bgColor theme="0"/>
                </patternFill>
              </fill>
            </x14:dxf>
          </x14:cfRule>
          <x14:cfRule type="expression" priority="636" id="{CCDEFEF3-70AB-4E3E-8972-6981780161E4}">
            <xm:f>Calculation!$F35=3</xm:f>
            <x14:dxf>
              <fill>
                <patternFill>
                  <bgColor rgb="FFFFFF00"/>
                </patternFill>
              </fill>
            </x14:dxf>
          </x14:cfRule>
          <xm:sqref>Q17:Q19</xm:sqref>
        </x14:conditionalFormatting>
        <x14:conditionalFormatting xmlns:xm="http://schemas.microsoft.com/office/excel/2006/main">
          <x14:cfRule type="expression" priority="16011" id="{D1E5137F-50FD-4B98-8BF8-4A13A1BB2CCB}">
            <xm:f>Calculation!$F15=0</xm:f>
            <x14:dxf>
              <fill>
                <patternFill>
                  <bgColor theme="0"/>
                </patternFill>
              </fill>
            </x14:dxf>
          </x14:cfRule>
          <x14:cfRule type="expression" priority="16010" id="{AE8B7587-E7E9-438B-99B9-7D25D8AC5289}">
            <xm:f>Calculation!$F15=4</xm:f>
            <x14:dxf>
              <fill>
                <patternFill>
                  <bgColor rgb="FF92D050"/>
                </patternFill>
              </fill>
            </x14:dxf>
          </x14:cfRule>
          <x14:cfRule type="expression" priority="16009" id="{DD3CCCAF-3906-44FD-9DDC-2435D7B252AF}">
            <xm:f>Calculation!$F15=1</xm:f>
            <x14:dxf>
              <fill>
                <patternFill>
                  <bgColor rgb="FFFF0000"/>
                </patternFill>
              </fill>
            </x14:dxf>
          </x14:cfRule>
          <x14:cfRule type="expression" priority="16008" id="{D29CA0B1-63E3-42B6-97D8-803A176BFBC7}">
            <xm:f>Calculation!$F15=2</xm:f>
            <x14:dxf>
              <fill>
                <patternFill>
                  <bgColor rgb="FFFFC000"/>
                </patternFill>
              </fill>
            </x14:dxf>
          </x14:cfRule>
          <x14:cfRule type="expression" priority="16007" id="{847CA150-6358-4C29-A760-4C366C1BAC40}">
            <xm:f>Calculation!$F15=3</xm:f>
            <x14:dxf>
              <fill>
                <patternFill>
                  <bgColor rgb="FFFFFF00"/>
                </patternFill>
              </fill>
            </x14:dxf>
          </x14:cfRule>
          <xm:sqref>U7</xm:sqref>
        </x14:conditionalFormatting>
        <x14:conditionalFormatting xmlns:xm="http://schemas.microsoft.com/office/excel/2006/main">
          <x14:cfRule type="expression" priority="630" id="{7D705918-E131-4291-AB0B-1E890C438079}">
            <xm:f>Calculation!$F38=0</xm:f>
            <x14:dxf>
              <fill>
                <patternFill>
                  <bgColor theme="0"/>
                </patternFill>
              </fill>
            </x14:dxf>
          </x14:cfRule>
          <x14:cfRule type="expression" priority="631" id="{C4BB933A-42C5-410C-843E-0B8BCEDE0425}">
            <xm:f>Calculation!$F38=3</xm:f>
            <x14:dxf>
              <fill>
                <patternFill>
                  <bgColor rgb="FFFFFF00"/>
                </patternFill>
              </fill>
            </x14:dxf>
          </x14:cfRule>
          <x14:cfRule type="expression" priority="632" id="{8625B027-0240-43D5-A00F-708616537AE7}">
            <xm:f>Calculation!$F38=2</xm:f>
            <x14:dxf>
              <fill>
                <patternFill>
                  <bgColor rgb="FFFFC000"/>
                </patternFill>
              </fill>
            </x14:dxf>
          </x14:cfRule>
          <x14:cfRule type="expression" priority="633" id="{1DB67481-7DE0-4AB3-A45F-B8C16372D053}">
            <xm:f>Calculation!$F38=1</xm:f>
            <x14:dxf>
              <fill>
                <patternFill>
                  <bgColor rgb="FFFF0000"/>
                </patternFill>
              </fill>
            </x14:dxf>
          </x14:cfRule>
          <x14:cfRule type="expression" priority="634" id="{99AC71EE-D161-436C-BAFA-F04094A15913}">
            <xm:f>Calculation!$F38=4</xm:f>
            <x14:dxf>
              <fill>
                <patternFill>
                  <bgColor rgb="FF92D050"/>
                </patternFill>
              </fill>
            </x14:dxf>
          </x14:cfRule>
          <xm:sqref>U17:U19</xm:sqref>
        </x14:conditionalFormatting>
        <x14:conditionalFormatting xmlns:xm="http://schemas.microsoft.com/office/excel/2006/main">
          <x14:cfRule type="expression" priority="653" id="{DD3CCCAF-3906-44FD-9DDC-2435D7B252AF}">
            <xm:f>Calculation!$F16=1</xm:f>
            <x14:dxf>
              <fill>
                <patternFill>
                  <bgColor rgb="FFFF0000"/>
                </patternFill>
              </fill>
            </x14:dxf>
          </x14:cfRule>
          <x14:cfRule type="expression" priority="654" id="{AE8B7587-E7E9-438B-99B9-7D25D8AC5289}">
            <xm:f>Calculation!$F16=4</xm:f>
            <x14:dxf>
              <fill>
                <patternFill>
                  <bgColor rgb="FF92D050"/>
                </patternFill>
              </fill>
            </x14:dxf>
          </x14:cfRule>
          <x14:cfRule type="expression" priority="650" id="{D1E5137F-50FD-4B98-8BF8-4A13A1BB2CCB}">
            <xm:f>Calculation!$F16=0</xm:f>
            <x14:dxf>
              <fill>
                <patternFill>
                  <bgColor theme="0"/>
                </patternFill>
              </fill>
            </x14:dxf>
          </x14:cfRule>
          <x14:cfRule type="expression" priority="651" id="{847CA150-6358-4C29-A760-4C366C1BAC40}">
            <xm:f>Calculation!$F16=3</xm:f>
            <x14:dxf>
              <fill>
                <patternFill>
                  <bgColor rgb="FFFFFF00"/>
                </patternFill>
              </fill>
            </x14:dxf>
          </x14:cfRule>
          <x14:cfRule type="expression" priority="652" id="{D29CA0B1-63E3-42B6-97D8-803A176BFBC7}">
            <xm:f>Calculation!$F16=2</xm:f>
            <x14:dxf>
              <fill>
                <patternFill>
                  <bgColor rgb="FFFFC000"/>
                </patternFill>
              </fill>
            </x14:dxf>
          </x14:cfRule>
          <xm:sqref>Y7:Y9 U13</xm:sqref>
        </x14:conditionalFormatting>
        <x14:conditionalFormatting xmlns:xm="http://schemas.microsoft.com/office/excel/2006/main">
          <x14:cfRule type="expression" priority="648" id="{165B5B89-ABC8-416C-983E-3F13330144F8}">
            <xm:f>Calculation!$F23=1</xm:f>
            <x14:dxf>
              <fill>
                <patternFill>
                  <bgColor rgb="FFFF0000"/>
                </patternFill>
              </fill>
            </x14:dxf>
          </x14:cfRule>
          <x14:cfRule type="expression" priority="645" id="{57EE3B6D-5CA2-4EDA-9A28-22CA51F418AD}">
            <xm:f>Calculation!$F23=0</xm:f>
            <x14:dxf>
              <fill>
                <patternFill>
                  <bgColor theme="0"/>
                </patternFill>
              </fill>
            </x14:dxf>
          </x14:cfRule>
          <x14:cfRule type="expression" priority="646" id="{498204DF-D951-4CB8-97E4-709BD62E30F5}">
            <xm:f>Calculation!$F23=3</xm:f>
            <x14:dxf>
              <fill>
                <patternFill>
                  <bgColor rgb="FFFFFF00"/>
                </patternFill>
              </fill>
            </x14:dxf>
          </x14:cfRule>
          <x14:cfRule type="expression" priority="647" id="{5651CC00-A13C-4557-ABB0-895B4F52DAB4}">
            <xm:f>Calculation!$F23=2</xm:f>
            <x14:dxf>
              <fill>
                <patternFill>
                  <bgColor rgb="FFFFC000"/>
                </patternFill>
              </fill>
            </x14:dxf>
          </x14:cfRule>
          <x14:cfRule type="expression" priority="649" id="{7801E5BE-3EA6-44C4-B330-288DC91D9ABF}">
            <xm:f>Calculation!$F23=4</xm:f>
            <x14:dxf>
              <fill>
                <patternFill>
                  <bgColor rgb="FF92D050"/>
                </patternFill>
              </fill>
            </x14:dxf>
          </x14:cfRule>
          <xm:sqref>Y13:Y14 AC13:AC14</xm:sqref>
        </x14:conditionalFormatting>
        <x14:conditionalFormatting xmlns:xm="http://schemas.microsoft.com/office/excel/2006/main">
          <x14:cfRule type="expression" priority="7198" id="{D4E1E5B8-9627-49D0-8684-9B58625F691B}">
            <xm:f>Calculation!$F3=0</xm:f>
            <x14:dxf>
              <fill>
                <patternFill>
                  <bgColor theme="0"/>
                </patternFill>
              </fill>
            </x14:dxf>
          </x14:cfRule>
          <x14:cfRule type="expression" priority="7196" id="{FE4CB614-A052-4BFD-A512-6C7530B22870}">
            <xm:f>Calculation!$F3=1.5</xm:f>
            <x14:dxf>
              <fill>
                <patternFill patternType="darkVertical">
                  <fgColor rgb="FFFF9900"/>
                  <bgColor rgb="FFFF0000"/>
                </patternFill>
              </fill>
            </x14:dxf>
          </x14:cfRule>
          <x14:cfRule type="expression" priority="219" id="{F4366758-5D4D-4165-A9B4-A2BC6D41A873}">
            <xm:f>Calculation!$F3=3</xm:f>
            <x14:dxf>
              <fill>
                <patternFill>
                  <bgColor rgb="FFFFFF00"/>
                </patternFill>
              </fill>
            </x14:dxf>
          </x14:cfRule>
          <x14:cfRule type="expression" priority="218" id="{5F29CCAA-956C-42D0-89E1-CF8950B08851}">
            <xm:f>Calculation!$F3=3.5</xm:f>
            <x14:dxf>
              <fill>
                <patternFill patternType="darkVertical">
                  <fgColor rgb="FFFFFF00"/>
                  <bgColor rgb="FF92D050"/>
                </patternFill>
              </fill>
            </x14:dxf>
          </x14:cfRule>
          <x14:cfRule type="expression" priority="217" id="{B7F15C48-BEB6-4C02-88A1-BC9A40DE7E06}">
            <xm:f>Calculation!$F3=4</xm:f>
            <x14:dxf>
              <fill>
                <patternFill>
                  <bgColor rgb="FF92D050"/>
                </patternFill>
              </fill>
            </x14:dxf>
          </x14:cfRule>
          <x14:cfRule type="expression" priority="7194" id="{5375F61F-D639-4C3B-A115-A3478AFD377B}">
            <xm:f>Calculation!$F3=2.5</xm:f>
            <x14:dxf>
              <fill>
                <patternFill patternType="darkVertical">
                  <fgColor rgb="FFFFC000"/>
                  <bgColor rgb="FFFFFF00"/>
                </patternFill>
              </fill>
            </x14:dxf>
          </x14:cfRule>
          <x14:cfRule type="expression" priority="7197" id="{EFD0AFC1-43B2-4E42-987F-D1488EC4DC7A}">
            <xm:f>Calculation!$F3=1</xm:f>
            <x14:dxf>
              <fill>
                <patternFill>
                  <bgColor rgb="FFFF0000"/>
                </patternFill>
              </fill>
            </x14:dxf>
          </x14:cfRule>
          <x14:cfRule type="expression" priority="7195" id="{959D147B-CF51-446C-BAF0-CBB369AC5F45}">
            <xm:f>Calculation!$F3=2</xm:f>
            <x14:dxf>
              <fill>
                <patternFill>
                  <bgColor rgb="FFFFC000"/>
                </patternFill>
              </fill>
            </x14:dxf>
          </x14:cfRule>
          <xm:sqref>AL30:AL44</xm:sqref>
        </x14:conditionalFormatting>
        <x14:conditionalFormatting xmlns:xm="http://schemas.microsoft.com/office/excel/2006/main">
          <x14:cfRule type="expression" priority="192" id="{FC64C6B6-66AC-48E7-84A9-1C70BA40E0CE}">
            <xm:f>'Diagram Data'!$C25=3.5</xm:f>
            <x14:dxf>
              <fill>
                <patternFill patternType="darkVertical">
                  <fgColor rgb="FFFFFF00"/>
                  <bgColor rgb="FF92D050"/>
                </patternFill>
              </fill>
            </x14:dxf>
          </x14:cfRule>
          <x14:cfRule type="expression" priority="191" id="{D38D8B78-E801-4190-9F62-086F95D17F8B}">
            <xm:f>'Diagram Data'!$C25=4</xm:f>
            <x14:dxf>
              <fill>
                <patternFill>
                  <bgColor rgb="FF92D050"/>
                </patternFill>
              </fill>
            </x14:dxf>
          </x14:cfRule>
          <x14:cfRule type="expression" priority="198" id="{8FEE7423-30A2-49B3-AF1E-8E56D95757C2}">
            <xm:f>'Diagram Data'!$C25=0</xm:f>
            <x14:dxf>
              <fill>
                <patternFill>
                  <bgColor theme="0"/>
                </patternFill>
              </fill>
            </x14:dxf>
          </x14:cfRule>
          <x14:cfRule type="expression" priority="197" id="{48E02D21-3361-4D92-AC90-04EE39BA49E1}">
            <xm:f>'Diagram Data'!$C25=1</xm:f>
            <x14:dxf>
              <fill>
                <patternFill>
                  <bgColor rgb="FFFF0000"/>
                </patternFill>
              </fill>
            </x14:dxf>
          </x14:cfRule>
          <x14:cfRule type="expression" priority="196" id="{48E5D74A-294C-4588-8933-25CF4B06C110}">
            <xm:f>'Diagram Data'!$C25=1.5</xm:f>
            <x14:dxf>
              <fill>
                <patternFill patternType="darkVertical">
                  <fgColor rgb="FFFF9900"/>
                  <bgColor rgb="FFFF0000"/>
                </patternFill>
              </fill>
            </x14:dxf>
          </x14:cfRule>
          <x14:cfRule type="expression" priority="195" id="{761A57D4-B899-4855-B3EE-8EAE433A98F5}">
            <xm:f>'Diagram Data'!$C25=2</xm:f>
            <x14:dxf>
              <fill>
                <patternFill>
                  <bgColor rgb="FFFFC000"/>
                </patternFill>
              </fill>
            </x14:dxf>
          </x14:cfRule>
          <x14:cfRule type="expression" priority="194" id="{C4796663-9713-4C62-89EF-2C972F47784B}">
            <xm:f>'Diagram Data'!$C25=2.5</xm:f>
            <x14:dxf>
              <fill>
                <patternFill patternType="darkVertical">
                  <fgColor rgb="FFFFC000"/>
                  <bgColor rgb="FFFFFF00"/>
                </patternFill>
              </fill>
            </x14:dxf>
          </x14:cfRule>
          <x14:cfRule type="expression" priority="193" id="{E92C1F9D-4B0B-40AC-B28D-EFB6CCF8FBCD}">
            <xm:f>'Diagram Data'!$C25=3</xm:f>
            <x14:dxf>
              <fill>
                <patternFill>
                  <bgColor rgb="FFFFFF00"/>
                </patternFill>
              </fill>
            </x14:dxf>
          </x14:cfRule>
          <xm:sqref>AM30:AM44</xm:sqref>
        </x14:conditionalFormatting>
        <x14:conditionalFormatting xmlns:xm="http://schemas.microsoft.com/office/excel/2006/main">
          <x14:cfRule type="expression" priority="139" id="{6B4384E2-2D7A-4678-BF78-6636A75BB1F5}">
            <xm:f>'Diagram Data'!$D25=2</xm:f>
            <x14:dxf>
              <fill>
                <patternFill>
                  <bgColor rgb="FFFFC000"/>
                </patternFill>
              </fill>
            </x14:dxf>
          </x14:cfRule>
          <x14:cfRule type="expression" priority="135" id="{F8BDE44A-AD4F-4CCE-8287-10B876EDE3C3}">
            <xm:f>'Diagram Data'!$D25=4</xm:f>
            <x14:dxf>
              <fill>
                <patternFill>
                  <bgColor rgb="FF92D050"/>
                </patternFill>
              </fill>
            </x14:dxf>
          </x14:cfRule>
          <x14:cfRule type="expression" priority="138" id="{DFD60D94-7C67-4B60-B9EC-269B91086000}">
            <xm:f>'Diagram Data'!$D25=2.5</xm:f>
            <x14:dxf>
              <fill>
                <patternFill patternType="darkVertical">
                  <fgColor rgb="FFFFC000"/>
                  <bgColor rgb="FFFFFF00"/>
                </patternFill>
              </fill>
            </x14:dxf>
          </x14:cfRule>
          <x14:cfRule type="expression" priority="137" id="{4E599708-601C-4EA5-A495-10A82A641292}">
            <xm:f>'Diagram Data'!$D25=3</xm:f>
            <x14:dxf>
              <fill>
                <patternFill>
                  <bgColor rgb="FFFFFF00"/>
                </patternFill>
              </fill>
            </x14:dxf>
          </x14:cfRule>
          <x14:cfRule type="expression" priority="142" id="{57E9B154-066D-43AE-81D0-35C6F6D3891E}">
            <xm:f>'Diagram Data'!$D25=0</xm:f>
            <x14:dxf>
              <fill>
                <patternFill>
                  <bgColor theme="0"/>
                </patternFill>
              </fill>
            </x14:dxf>
          </x14:cfRule>
          <x14:cfRule type="expression" priority="141" id="{9D86A9BF-CE91-44FB-B3F9-9E2E6607D7DA}">
            <xm:f>'Diagram Data'!$D25=1</xm:f>
            <x14:dxf>
              <fill>
                <patternFill>
                  <bgColor rgb="FFFF0000"/>
                </patternFill>
              </fill>
            </x14:dxf>
          </x14:cfRule>
          <x14:cfRule type="expression" priority="136" id="{ECE88D4E-01C7-47E8-8277-DE9C73B32BF9}">
            <xm:f>'Diagram Data'!$D25=3.5</xm:f>
            <x14:dxf>
              <fill>
                <patternFill patternType="darkVertical">
                  <fgColor rgb="FFFFFF00"/>
                  <bgColor rgb="FF92D050"/>
                </patternFill>
              </fill>
            </x14:dxf>
          </x14:cfRule>
          <x14:cfRule type="expression" priority="140" id="{B6B1D827-588E-4D7F-B2FE-CE4202785C29}">
            <xm:f>'Diagram Data'!$D25=1.5</xm:f>
            <x14:dxf>
              <fill>
                <patternFill patternType="darkVertical">
                  <fgColor rgb="FFFF9900"/>
                  <bgColor rgb="FFFF0000"/>
                </patternFill>
              </fill>
            </x14:dxf>
          </x14:cfRule>
          <xm:sqref>AN30:AN44</xm:sqref>
        </x14:conditionalFormatting>
        <x14:conditionalFormatting xmlns:xm="http://schemas.microsoft.com/office/excel/2006/main">
          <x14:cfRule type="expression" priority="209" id="{317E1D60-675F-4FA7-8EBD-B588AE6953C7}">
            <xm:f>Calculation!$F18=3.5</xm:f>
            <x14:dxf>
              <fill>
                <patternFill patternType="darkVertical">
                  <fgColor rgb="FFFFFF00"/>
                  <bgColor rgb="FF92D050"/>
                </patternFill>
              </fill>
            </x14:dxf>
          </x14:cfRule>
          <x14:cfRule type="expression" priority="211" id="{2BEBE9D2-FF24-4AF4-9B35-E7769B09A389}">
            <xm:f>Calculation!$F18=2.5</xm:f>
            <x14:dxf>
              <fill>
                <patternFill patternType="darkVertical">
                  <fgColor rgb="FFFFC000"/>
                  <bgColor rgb="FFFFFF00"/>
                </patternFill>
              </fill>
            </x14:dxf>
          </x14:cfRule>
          <x14:cfRule type="expression" priority="212" id="{48928A1E-D5C2-48F2-915A-24D2A8546487}">
            <xm:f>Calculation!$F18=2</xm:f>
            <x14:dxf>
              <fill>
                <patternFill>
                  <bgColor rgb="FFFFC000"/>
                </patternFill>
              </fill>
            </x14:dxf>
          </x14:cfRule>
          <x14:cfRule type="expression" priority="213" id="{21E8D149-9579-47D6-A541-D5D5DCF8450F}">
            <xm:f>Calculation!$F18=1.5</xm:f>
            <x14:dxf>
              <fill>
                <patternFill patternType="darkVertical">
                  <fgColor rgb="FFFF9900"/>
                  <bgColor rgb="FFFF0000"/>
                </patternFill>
              </fill>
            </x14:dxf>
          </x14:cfRule>
          <x14:cfRule type="expression" priority="210" id="{312D2F87-9599-4C43-ADD8-8479AF15A647}">
            <xm:f>Calculation!$F18=3</xm:f>
            <x14:dxf>
              <fill>
                <patternFill>
                  <bgColor rgb="FFFFFF00"/>
                </patternFill>
              </fill>
            </x14:dxf>
          </x14:cfRule>
          <x14:cfRule type="expression" priority="215" id="{14887A7F-63C8-45D6-8E33-141247F76201}">
            <xm:f>Calculation!$F18=0</xm:f>
            <x14:dxf>
              <fill>
                <patternFill>
                  <bgColor theme="0"/>
                </patternFill>
              </fill>
            </x14:dxf>
          </x14:cfRule>
          <x14:cfRule type="expression" priority="214" id="{D077256C-6CFD-4E64-85A0-E57E3D249E7B}">
            <xm:f>Calculation!$F18=1</xm:f>
            <x14:dxf>
              <fill>
                <patternFill>
                  <bgColor rgb="FFFF0000"/>
                </patternFill>
              </fill>
            </x14:dxf>
          </x14:cfRule>
          <x14:cfRule type="expression" priority="208" id="{A0E2E48A-C91F-4DE5-A357-94800A132AFF}">
            <xm:f>Calculation!$F18=4</xm:f>
            <x14:dxf>
              <fill>
                <patternFill>
                  <bgColor rgb="FF92D050"/>
                </patternFill>
              </fill>
            </x14:dxf>
          </x14:cfRule>
          <xm:sqref>AR30:AR38</xm:sqref>
        </x14:conditionalFormatting>
        <x14:conditionalFormatting xmlns:xm="http://schemas.microsoft.com/office/excel/2006/main">
          <x14:cfRule type="expression" priority="99" id="{81398F65-AE67-4966-8EAB-681758268F71}">
            <xm:f>'Diagram Data'!$C50=3.5</xm:f>
            <x14:dxf>
              <fill>
                <patternFill patternType="darkVertical">
                  <fgColor rgb="FFFFFF00"/>
                  <bgColor rgb="FF92D050"/>
                </patternFill>
              </fill>
            </x14:dxf>
          </x14:cfRule>
          <x14:cfRule type="expression" priority="102" id="{6683D545-E0C4-4530-ACF4-49BF6A711728}">
            <xm:f>'Diagram Data'!$C50=2</xm:f>
            <x14:dxf>
              <fill>
                <patternFill>
                  <bgColor rgb="FFFFC000"/>
                </patternFill>
              </fill>
            </x14:dxf>
          </x14:cfRule>
          <x14:cfRule type="expression" priority="105" id="{90162A6C-A9CD-4D89-BA23-A2B88B997A9E}">
            <xm:f>'Diagram Data'!$C50=0</xm:f>
            <x14:dxf>
              <fill>
                <patternFill patternType="none">
                  <bgColor auto="1"/>
                </patternFill>
              </fill>
            </x14:dxf>
          </x14:cfRule>
          <x14:cfRule type="expression" priority="101" id="{218EE03D-45FC-46EF-81CA-8BDC5AEB428C}">
            <xm:f>'Diagram Data'!$C50=2.5</xm:f>
            <x14:dxf>
              <fill>
                <patternFill patternType="darkVertical">
                  <fgColor rgb="FFFFC000"/>
                  <bgColor rgb="FFFFFF00"/>
                </patternFill>
              </fill>
            </x14:dxf>
          </x14:cfRule>
          <x14:cfRule type="expression" priority="97" id="{CEADBEBF-6EE5-424F-A897-C1DE1A5320F3}">
            <xm:f>'Diagram Data'!$C50=4</xm:f>
            <x14:dxf>
              <fill>
                <patternFill>
                  <bgColor rgb="FF92D050"/>
                </patternFill>
              </fill>
            </x14:dxf>
          </x14:cfRule>
          <x14:cfRule type="expression" priority="100" id="{B0C957A1-B414-4D2F-8D81-D6EB73986D4D}">
            <xm:f>'Diagram Data'!$C50=3</xm:f>
            <x14:dxf>
              <fill>
                <patternFill>
                  <bgColor rgb="FFFFFF00"/>
                </patternFill>
              </fill>
            </x14:dxf>
          </x14:cfRule>
          <x14:cfRule type="expression" priority="103" id="{32F08DBE-9A7C-4626-9B0D-5AD438662A71}">
            <xm:f>'Diagram Data'!$C50=1.5</xm:f>
            <x14:dxf>
              <fill>
                <patternFill patternType="darkVertical">
                  <fgColor rgb="FFFF9900"/>
                  <bgColor rgb="FFFF0000"/>
                </patternFill>
              </fill>
            </x14:dxf>
          </x14:cfRule>
          <x14:cfRule type="expression" priority="104" id="{69A9D1C3-7CE2-49E5-BD40-4D5A10FE26C3}">
            <xm:f>'Diagram Data'!$C50=1</xm:f>
            <x14:dxf>
              <fill>
                <patternFill>
                  <bgColor rgb="FFFF0000"/>
                </patternFill>
              </fill>
            </x14:dxf>
          </x14:cfRule>
          <xm:sqref>AS30:AS38</xm:sqref>
        </x14:conditionalFormatting>
        <x14:conditionalFormatting xmlns:xm="http://schemas.microsoft.com/office/excel/2006/main">
          <x14:cfRule type="expression" priority="93" id="{004240A5-239C-446C-B62D-E8EAB9ED5E74}">
            <xm:f>'Diagram Data'!$D50=2</xm:f>
            <x14:dxf>
              <fill>
                <patternFill>
                  <bgColor rgb="FFFFC000"/>
                </patternFill>
              </fill>
            </x14:dxf>
          </x14:cfRule>
          <x14:cfRule type="expression" priority="92" id="{5A925853-78E1-4BAF-8B6C-2E3FAF5811D1}">
            <xm:f>'Diagram Data'!$D50=2.5</xm:f>
            <x14:dxf>
              <fill>
                <patternFill patternType="darkVertical">
                  <fgColor rgb="FFFFC000"/>
                  <bgColor rgb="FFFFFF00"/>
                </patternFill>
              </fill>
            </x14:dxf>
          </x14:cfRule>
          <x14:cfRule type="expression" priority="91" id="{16E84E57-8851-4687-BD4E-0C60FFCC807B}">
            <xm:f>'Diagram Data'!$D50=3</xm:f>
            <x14:dxf>
              <fill>
                <patternFill>
                  <bgColor rgb="FFFFFF00"/>
                </patternFill>
              </fill>
            </x14:dxf>
          </x14:cfRule>
          <x14:cfRule type="expression" priority="89" id="{2BFEA47B-F105-495C-BC2F-87E288D253D1}">
            <xm:f>'Diagram Data'!$D50=4</xm:f>
            <x14:dxf>
              <fill>
                <patternFill>
                  <bgColor rgb="FF92D050"/>
                </patternFill>
              </fill>
            </x14:dxf>
          </x14:cfRule>
          <x14:cfRule type="expression" priority="90" id="{15F97ACE-1894-4419-93A9-EF1AD768C910}">
            <xm:f>'Diagram Data'!$D50=3.5</xm:f>
            <x14:dxf>
              <fill>
                <patternFill patternType="darkVertical">
                  <fgColor rgb="FFFFFF00"/>
                  <bgColor rgb="FF92D050"/>
                </patternFill>
              </fill>
            </x14:dxf>
          </x14:cfRule>
          <x14:cfRule type="expression" priority="96" id="{CF9D056E-96B9-40C1-A43F-867AAFB37EBB}">
            <xm:f>'Diagram Data'!$D50=0</xm:f>
            <x14:dxf>
              <fill>
                <patternFill patternType="none">
                  <bgColor auto="1"/>
                </patternFill>
              </fill>
            </x14:dxf>
          </x14:cfRule>
          <x14:cfRule type="expression" priority="95" id="{F59AE51C-0C86-4310-9F4D-A53BAC20E236}">
            <xm:f>'Diagram Data'!$D50=1</xm:f>
            <x14:dxf>
              <fill>
                <patternFill>
                  <bgColor rgb="FFFF0000"/>
                </patternFill>
              </fill>
            </x14:dxf>
          </x14:cfRule>
          <x14:cfRule type="expression" priority="94" id="{C3D1712E-43F2-452A-8E1A-434DAEA27F63}">
            <xm:f>'Diagram Data'!$D50=1.5</xm:f>
            <x14:dxf>
              <fill>
                <patternFill patternType="darkVertical">
                  <fgColor rgb="FFFF9900"/>
                  <bgColor rgb="FFFF0000"/>
                </patternFill>
              </fill>
            </x14:dxf>
          </x14:cfRule>
          <xm:sqref>AT30:AT38</xm:sqref>
        </x14:conditionalFormatting>
        <x14:conditionalFormatting xmlns:xm="http://schemas.microsoft.com/office/excel/2006/main">
          <x14:cfRule type="expression" priority="200" id="{F6FCC231-0E92-42EF-BEC9-33F38FAAB652}">
            <xm:f>Calculation!$F27=3.5</xm:f>
            <x14:dxf>
              <fill>
                <patternFill patternType="darkVertical">
                  <fgColor rgb="FFFFFF00"/>
                  <bgColor rgb="FF92D050"/>
                </patternFill>
              </fill>
            </x14:dxf>
          </x14:cfRule>
          <x14:cfRule type="expression" priority="206" id="{6EE6FBF4-B0B4-46D7-9EE7-D06F56830232}">
            <xm:f>Calculation!$F27=0</xm:f>
            <x14:dxf>
              <fill>
                <patternFill>
                  <bgColor theme="0"/>
                </patternFill>
              </fill>
            </x14:dxf>
          </x14:cfRule>
          <x14:cfRule type="expression" priority="203" id="{61371A25-2849-4695-BC39-779FD5A9FD45}">
            <xm:f>Calculation!$F27=2</xm:f>
            <x14:dxf>
              <fill>
                <patternFill>
                  <bgColor rgb="FFFFC000"/>
                </patternFill>
              </fill>
            </x14:dxf>
          </x14:cfRule>
          <x14:cfRule type="expression" priority="201" id="{144F83A5-D29D-496A-A4F8-FE27A10AF232}">
            <xm:f>Calculation!$F27=3</xm:f>
            <x14:dxf>
              <fill>
                <patternFill>
                  <bgColor rgb="FFFFFF00"/>
                </patternFill>
              </fill>
            </x14:dxf>
          </x14:cfRule>
          <x14:cfRule type="expression" priority="205" id="{656A1496-974A-4325-8195-E44DD71A47ED}">
            <xm:f>Calculation!$F27=1</xm:f>
            <x14:dxf>
              <fill>
                <patternFill>
                  <bgColor rgb="FFFF0000"/>
                </patternFill>
              </fill>
            </x14:dxf>
          </x14:cfRule>
          <x14:cfRule type="expression" priority="202" id="{982B01F9-175C-4A9F-BB8F-24CC806263E4}">
            <xm:f>Calculation!$F27=2.5</xm:f>
            <x14:dxf>
              <fill>
                <patternFill patternType="darkVertical">
                  <fgColor rgb="FFFFC000"/>
                  <bgColor rgb="FFFFFF00"/>
                </patternFill>
              </fill>
            </x14:dxf>
          </x14:cfRule>
          <x14:cfRule type="expression" priority="199" id="{4F4A7423-0CC8-4421-8158-9C07A559BA49}">
            <xm:f>Calculation!$F27=4</xm:f>
            <x14:dxf>
              <fill>
                <patternFill>
                  <bgColor rgb="FF92D050"/>
                </patternFill>
              </fill>
            </x14:dxf>
          </x14:cfRule>
          <x14:cfRule type="expression" priority="204" id="{811CFEBE-BADF-4E5C-A5BC-9DF82B619036}">
            <xm:f>Calculation!$F27=1.5</xm:f>
            <x14:dxf>
              <fill>
                <patternFill patternType="darkVertical">
                  <fgColor rgb="FFFF9900"/>
                  <bgColor rgb="FFFF0000"/>
                </patternFill>
              </fill>
            </x14:dxf>
          </x14:cfRule>
          <xm:sqref>AX30:AX43</xm:sqref>
        </x14:conditionalFormatting>
        <x14:conditionalFormatting xmlns:xm="http://schemas.microsoft.com/office/excel/2006/main">
          <x14:cfRule type="expression" priority="41" id="{EBCF0653-3F7B-4419-A0CB-5D16EC241512}">
            <xm:f>'Diagram Data'!$C59=4</xm:f>
            <x14:dxf>
              <fill>
                <patternFill>
                  <bgColor rgb="FF92D050"/>
                </patternFill>
              </fill>
            </x14:dxf>
          </x14:cfRule>
          <x14:cfRule type="expression" priority="42" id="{B717FE3E-5A99-498C-8744-FA64F922955F}">
            <xm:f>'Diagram Data'!$C59=3.5</xm:f>
            <x14:dxf>
              <fill>
                <patternFill patternType="darkVertical">
                  <fgColor rgb="FFFFFF00"/>
                  <bgColor rgb="FF92D050"/>
                </patternFill>
              </fill>
            </x14:dxf>
          </x14:cfRule>
          <x14:cfRule type="expression" priority="43" id="{3F38A3BC-5256-4DCC-BB1F-A773F89993F9}">
            <xm:f>'Diagram Data'!$C59=3</xm:f>
            <x14:dxf>
              <fill>
                <patternFill>
                  <bgColor rgb="FFFFFF00"/>
                </patternFill>
              </fill>
            </x14:dxf>
          </x14:cfRule>
          <x14:cfRule type="expression" priority="44" id="{659A70F5-EDC1-4AFE-A1E0-FA7457E7EF6F}">
            <xm:f>'Diagram Data'!$C59=2.5</xm:f>
            <x14:dxf>
              <fill>
                <patternFill patternType="darkVertical">
                  <fgColor rgb="FFFFC000"/>
                  <bgColor rgb="FFFFFF00"/>
                </patternFill>
              </fill>
            </x14:dxf>
          </x14:cfRule>
          <x14:cfRule type="expression" priority="46" id="{C399F8C1-3E70-4976-BA33-BA252329DD19}">
            <xm:f>'Diagram Data'!$C59=1.5</xm:f>
            <x14:dxf>
              <fill>
                <patternFill patternType="darkVertical">
                  <fgColor rgb="FFFF9900"/>
                  <bgColor rgb="FFFF0000"/>
                </patternFill>
              </fill>
            </x14:dxf>
          </x14:cfRule>
          <x14:cfRule type="expression" priority="48" id="{89A2AE54-DA24-42BC-88B6-812741C13CFD}">
            <xm:f>'Diagram Data'!$C59=0</xm:f>
            <x14:dxf>
              <fill>
                <patternFill patternType="none">
                  <bgColor auto="1"/>
                </patternFill>
              </fill>
            </x14:dxf>
          </x14:cfRule>
          <x14:cfRule type="expression" priority="45" id="{CD367796-4877-4A42-90FF-09F978FDFE85}">
            <xm:f>'Diagram Data'!$C59=2</xm:f>
            <x14:dxf>
              <fill>
                <patternFill>
                  <bgColor rgb="FFFFC000"/>
                </patternFill>
              </fill>
            </x14:dxf>
          </x14:cfRule>
          <x14:cfRule type="expression" priority="47" id="{0CE65B30-E782-4EB7-A4E8-21B6047AE844}">
            <xm:f>'Diagram Data'!$C59=1</xm:f>
            <x14:dxf>
              <fill>
                <patternFill>
                  <bgColor rgb="FFFF0000"/>
                </patternFill>
              </fill>
            </x14:dxf>
          </x14:cfRule>
          <xm:sqref>AY30:AY43</xm:sqref>
        </x14:conditionalFormatting>
        <x14:conditionalFormatting xmlns:xm="http://schemas.microsoft.com/office/excel/2006/main">
          <x14:cfRule type="expression" priority="27" id="{7122E64A-791E-4253-A32A-690C4532C429}">
            <xm:f>'Diagram Data'!$D59=3</xm:f>
            <x14:dxf>
              <fill>
                <patternFill>
                  <bgColor rgb="FFFFFF00"/>
                </patternFill>
              </fill>
            </x14:dxf>
          </x14:cfRule>
          <x14:cfRule type="expression" priority="28" id="{A5AE6F6B-6A85-46C6-9B62-F80E5D783503}">
            <xm:f>'Diagram Data'!$D59=2.5</xm:f>
            <x14:dxf>
              <fill>
                <patternFill patternType="darkVertical">
                  <fgColor rgb="FFFFC000"/>
                  <bgColor rgb="FFFFFF00"/>
                </patternFill>
              </fill>
            </x14:dxf>
          </x14:cfRule>
          <x14:cfRule type="expression" priority="29" id="{983C8A32-F662-49BC-835A-8473B63B7BDE}">
            <xm:f>'Diagram Data'!$D59=2</xm:f>
            <x14:dxf>
              <fill>
                <patternFill>
                  <bgColor rgb="FFFFC000"/>
                </patternFill>
              </fill>
            </x14:dxf>
          </x14:cfRule>
          <x14:cfRule type="expression" priority="30" id="{0811B3B3-2ADC-44F5-A918-BC3269FC7332}">
            <xm:f>'Diagram Data'!$D59=1.5</xm:f>
            <x14:dxf>
              <fill>
                <patternFill patternType="darkVertical">
                  <fgColor rgb="FFFF9900"/>
                  <bgColor rgb="FFFF0000"/>
                </patternFill>
              </fill>
            </x14:dxf>
          </x14:cfRule>
          <x14:cfRule type="expression" priority="31" id="{B61ADAB9-4B7D-4727-8F01-BF1BE2A2EF16}">
            <xm:f>'Diagram Data'!$D59=1</xm:f>
            <x14:dxf>
              <fill>
                <patternFill>
                  <bgColor rgb="FFFF0000"/>
                </patternFill>
              </fill>
            </x14:dxf>
          </x14:cfRule>
          <x14:cfRule type="expression" priority="32" id="{D1706AA5-87FE-40F9-8C2A-07F0353855C4}">
            <xm:f>'Diagram Data'!$D59=0</xm:f>
            <x14:dxf>
              <fill>
                <patternFill patternType="none">
                  <bgColor auto="1"/>
                </patternFill>
              </fill>
            </x14:dxf>
          </x14:cfRule>
          <x14:cfRule type="expression" priority="25" id="{4036124B-E43B-4DE1-85FC-DC85CC1A86BB}">
            <xm:f>'Diagram Data'!$D59=4</xm:f>
            <x14:dxf>
              <fill>
                <patternFill>
                  <bgColor rgb="FF92D050"/>
                </patternFill>
              </fill>
            </x14:dxf>
          </x14:cfRule>
          <x14:cfRule type="expression" priority="26" id="{398FAF5F-B6A4-49E2-9B6D-3808BAF32612}">
            <xm:f>'Diagram Data'!$D59=3.5</xm:f>
            <x14:dxf>
              <fill>
                <patternFill patternType="darkVertical">
                  <fgColor rgb="FFFFFF00"/>
                  <bgColor rgb="FF92D050"/>
                </patternFill>
              </fill>
            </x14:dxf>
          </x14:cfRule>
          <xm:sqref>AZ30:AZ43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6AFFE-6491-4573-B685-7D938880E923}">
  <sheetPr codeName="Ark9">
    <tabColor theme="7" tint="0.39997558519241921"/>
  </sheetPr>
  <dimension ref="A1:K155"/>
  <sheetViews>
    <sheetView workbookViewId="0">
      <selection activeCell="C2" sqref="C2"/>
    </sheetView>
  </sheetViews>
  <sheetFormatPr defaultRowHeight="15" x14ac:dyDescent="0.25"/>
  <cols>
    <col min="1" max="1" width="44.7109375" customWidth="1"/>
    <col min="2" max="3" width="66.5703125" customWidth="1"/>
    <col min="4" max="4" width="54.85546875" customWidth="1"/>
  </cols>
  <sheetData>
    <row r="1" spans="1:11" x14ac:dyDescent="0.25">
      <c r="A1" s="32" t="s">
        <v>190</v>
      </c>
      <c r="B1" s="32" t="s">
        <v>3</v>
      </c>
      <c r="C1" s="32" t="s">
        <v>191</v>
      </c>
      <c r="D1" s="32" t="s">
        <v>192</v>
      </c>
      <c r="E1" s="32"/>
      <c r="F1" s="32"/>
      <c r="G1" s="32"/>
      <c r="H1" s="32"/>
      <c r="I1" s="32"/>
      <c r="J1" s="32"/>
      <c r="K1" s="32"/>
    </row>
    <row r="2" spans="1:11" x14ac:dyDescent="0.25">
      <c r="A2" t="s">
        <v>193</v>
      </c>
      <c r="B2" t="s">
        <v>194</v>
      </c>
      <c r="C2" t="s">
        <v>195</v>
      </c>
      <c r="D2" t="s">
        <v>193</v>
      </c>
    </row>
    <row r="3" spans="1:11" x14ac:dyDescent="0.25">
      <c r="A3" s="456" t="s">
        <v>196</v>
      </c>
      <c r="B3" s="456" t="s">
        <v>196</v>
      </c>
      <c r="C3" s="456" t="s">
        <v>197</v>
      </c>
      <c r="D3" t="s">
        <v>198</v>
      </c>
    </row>
    <row r="4" spans="1:11" x14ac:dyDescent="0.25">
      <c r="A4" t="s">
        <v>199</v>
      </c>
      <c r="B4" t="s">
        <v>199</v>
      </c>
      <c r="C4" t="s">
        <v>200</v>
      </c>
      <c r="D4" t="s">
        <v>198</v>
      </c>
    </row>
    <row r="5" spans="1:11" x14ac:dyDescent="0.25">
      <c r="A5" t="s">
        <v>201</v>
      </c>
      <c r="B5" t="s">
        <v>201</v>
      </c>
      <c r="C5" t="s">
        <v>202</v>
      </c>
      <c r="D5" t="s">
        <v>193</v>
      </c>
    </row>
    <row r="6" spans="1:11" x14ac:dyDescent="0.25">
      <c r="A6" t="s">
        <v>203</v>
      </c>
      <c r="B6" t="s">
        <v>203</v>
      </c>
      <c r="C6" t="s">
        <v>204</v>
      </c>
      <c r="D6" t="s">
        <v>198</v>
      </c>
    </row>
    <row r="7" spans="1:11" x14ac:dyDescent="0.25">
      <c r="A7" t="s">
        <v>205</v>
      </c>
      <c r="B7" t="s">
        <v>205</v>
      </c>
      <c r="C7" t="s">
        <v>206</v>
      </c>
      <c r="D7" t="s">
        <v>193</v>
      </c>
    </row>
    <row r="8" spans="1:11" x14ac:dyDescent="0.25">
      <c r="A8" t="s">
        <v>207</v>
      </c>
      <c r="B8" t="s">
        <v>207</v>
      </c>
      <c r="C8" t="s">
        <v>208</v>
      </c>
      <c r="D8" t="s">
        <v>193</v>
      </c>
    </row>
    <row r="9" spans="1:11" x14ac:dyDescent="0.25">
      <c r="A9" t="s">
        <v>209</v>
      </c>
      <c r="B9" t="s">
        <v>209</v>
      </c>
      <c r="C9" t="s">
        <v>210</v>
      </c>
      <c r="D9" t="s">
        <v>193</v>
      </c>
    </row>
    <row r="10" spans="1:11" x14ac:dyDescent="0.25">
      <c r="A10" t="s">
        <v>211</v>
      </c>
      <c r="B10" t="s">
        <v>211</v>
      </c>
      <c r="C10" t="s">
        <v>212</v>
      </c>
      <c r="D10" t="s">
        <v>193</v>
      </c>
    </row>
    <row r="11" spans="1:11" x14ac:dyDescent="0.25">
      <c r="A11" t="s">
        <v>1027</v>
      </c>
      <c r="B11" t="s">
        <v>1027</v>
      </c>
      <c r="C11" t="s">
        <v>213</v>
      </c>
      <c r="D11" t="s">
        <v>193</v>
      </c>
    </row>
    <row r="12" spans="1:11" x14ac:dyDescent="0.25">
      <c r="A12" t="s">
        <v>214</v>
      </c>
      <c r="B12" t="s">
        <v>214</v>
      </c>
      <c r="C12" t="s">
        <v>215</v>
      </c>
      <c r="D12" t="s">
        <v>193</v>
      </c>
    </row>
    <row r="13" spans="1:11" x14ac:dyDescent="0.25">
      <c r="A13" t="s">
        <v>216</v>
      </c>
      <c r="B13" t="s">
        <v>216</v>
      </c>
      <c r="C13" t="s">
        <v>216</v>
      </c>
      <c r="D13" t="s">
        <v>193</v>
      </c>
    </row>
    <row r="14" spans="1:11" x14ac:dyDescent="0.25">
      <c r="A14" t="s">
        <v>217</v>
      </c>
      <c r="B14" t="s">
        <v>1026</v>
      </c>
      <c r="C14" t="s">
        <v>218</v>
      </c>
      <c r="D14" t="s">
        <v>193</v>
      </c>
    </row>
    <row r="15" spans="1:11" x14ac:dyDescent="0.25">
      <c r="A15" t="s">
        <v>219</v>
      </c>
      <c r="B15" t="s">
        <v>1028</v>
      </c>
      <c r="C15" t="s">
        <v>220</v>
      </c>
      <c r="D15" t="s">
        <v>193</v>
      </c>
    </row>
    <row r="16" spans="1:11" x14ac:dyDescent="0.25">
      <c r="A16" t="s">
        <v>221</v>
      </c>
      <c r="B16" t="s">
        <v>222</v>
      </c>
      <c r="C16" t="s">
        <v>223</v>
      </c>
      <c r="D16" t="s">
        <v>193</v>
      </c>
    </row>
    <row r="17" spans="1:4" x14ac:dyDescent="0.25">
      <c r="A17" t="s">
        <v>224</v>
      </c>
      <c r="B17" t="s">
        <v>1029</v>
      </c>
      <c r="C17" t="s">
        <v>225</v>
      </c>
      <c r="D17" t="s">
        <v>193</v>
      </c>
    </row>
    <row r="18" spans="1:4" x14ac:dyDescent="0.25">
      <c r="A18" t="s">
        <v>226</v>
      </c>
      <c r="B18" t="s">
        <v>1030</v>
      </c>
      <c r="C18" t="s">
        <v>227</v>
      </c>
      <c r="D18" t="s">
        <v>193</v>
      </c>
    </row>
    <row r="19" spans="1:4" x14ac:dyDescent="0.25">
      <c r="A19" t="s">
        <v>228</v>
      </c>
      <c r="B19" t="s">
        <v>229</v>
      </c>
      <c r="C19" t="s">
        <v>230</v>
      </c>
      <c r="D19" t="s">
        <v>193</v>
      </c>
    </row>
    <row r="20" spans="1:4" x14ac:dyDescent="0.25">
      <c r="A20" t="s">
        <v>231</v>
      </c>
      <c r="B20" t="s">
        <v>231</v>
      </c>
      <c r="C20" t="s">
        <v>232</v>
      </c>
      <c r="D20" t="s">
        <v>193</v>
      </c>
    </row>
    <row r="21" spans="1:4" x14ac:dyDescent="0.25">
      <c r="A21" t="s">
        <v>233</v>
      </c>
      <c r="B21" t="s">
        <v>233</v>
      </c>
      <c r="C21" t="s">
        <v>234</v>
      </c>
      <c r="D21" t="s">
        <v>154</v>
      </c>
    </row>
    <row r="22" spans="1:4" x14ac:dyDescent="0.25">
      <c r="A22" t="s">
        <v>235</v>
      </c>
      <c r="B22" t="s">
        <v>235</v>
      </c>
      <c r="C22" t="s">
        <v>236</v>
      </c>
      <c r="D22" t="s">
        <v>237</v>
      </c>
    </row>
    <row r="23" spans="1:4" x14ac:dyDescent="0.25">
      <c r="A23" t="s">
        <v>238</v>
      </c>
      <c r="B23" t="s">
        <v>238</v>
      </c>
      <c r="C23" t="s">
        <v>239</v>
      </c>
      <c r="D23" t="s">
        <v>154</v>
      </c>
    </row>
    <row r="24" spans="1:4" x14ac:dyDescent="0.25">
      <c r="A24" t="s">
        <v>240</v>
      </c>
      <c r="B24" t="s">
        <v>240</v>
      </c>
      <c r="C24" t="s">
        <v>241</v>
      </c>
      <c r="D24" t="s">
        <v>154</v>
      </c>
    </row>
    <row r="25" spans="1:4" ht="135" x14ac:dyDescent="0.25">
      <c r="A25" t="s">
        <v>242</v>
      </c>
      <c r="B25" s="457" t="s">
        <v>1031</v>
      </c>
      <c r="C25" s="68" t="s">
        <v>1032</v>
      </c>
      <c r="D25" t="s">
        <v>154</v>
      </c>
    </row>
    <row r="26" spans="1:4" x14ac:dyDescent="0.25">
      <c r="A26" t="s">
        <v>243</v>
      </c>
      <c r="B26" t="s">
        <v>243</v>
      </c>
      <c r="C26" t="s">
        <v>244</v>
      </c>
      <c r="D26" t="s">
        <v>245</v>
      </c>
    </row>
    <row r="27" spans="1:4" x14ac:dyDescent="0.25">
      <c r="A27" t="s">
        <v>246</v>
      </c>
      <c r="B27" t="s">
        <v>246</v>
      </c>
      <c r="C27" t="s">
        <v>247</v>
      </c>
      <c r="D27" t="s">
        <v>245</v>
      </c>
    </row>
    <row r="28" spans="1:4" x14ac:dyDescent="0.25">
      <c r="A28" t="s">
        <v>248</v>
      </c>
      <c r="B28" t="s">
        <v>248</v>
      </c>
      <c r="C28" t="s">
        <v>249</v>
      </c>
      <c r="D28" t="s">
        <v>245</v>
      </c>
    </row>
    <row r="29" spans="1:4" x14ac:dyDescent="0.25">
      <c r="A29" t="s">
        <v>115</v>
      </c>
      <c r="B29" t="s">
        <v>115</v>
      </c>
      <c r="C29" t="s">
        <v>250</v>
      </c>
      <c r="D29" t="s">
        <v>245</v>
      </c>
    </row>
    <row r="30" spans="1:4" x14ac:dyDescent="0.25">
      <c r="A30" t="s">
        <v>251</v>
      </c>
      <c r="B30" t="s">
        <v>251</v>
      </c>
      <c r="C30" t="s">
        <v>252</v>
      </c>
      <c r="D30" t="s">
        <v>237</v>
      </c>
    </row>
    <row r="31" spans="1:4" x14ac:dyDescent="0.25">
      <c r="A31" t="s">
        <v>253</v>
      </c>
      <c r="B31" t="s">
        <v>253</v>
      </c>
      <c r="C31" t="s">
        <v>254</v>
      </c>
      <c r="D31" t="s">
        <v>245</v>
      </c>
    </row>
    <row r="32" spans="1:4" x14ac:dyDescent="0.25">
      <c r="A32" t="s">
        <v>255</v>
      </c>
      <c r="B32" t="s">
        <v>255</v>
      </c>
      <c r="C32" t="s">
        <v>255</v>
      </c>
      <c r="D32" t="s">
        <v>245</v>
      </c>
    </row>
    <row r="33" spans="1:4" x14ac:dyDescent="0.25">
      <c r="A33" t="s">
        <v>256</v>
      </c>
      <c r="B33" t="s">
        <v>256</v>
      </c>
      <c r="C33" t="s">
        <v>257</v>
      </c>
      <c r="D33" t="s">
        <v>245</v>
      </c>
    </row>
    <row r="34" spans="1:4" x14ac:dyDescent="0.25">
      <c r="A34" t="s">
        <v>258</v>
      </c>
      <c r="B34" t="s">
        <v>258</v>
      </c>
      <c r="C34" t="s">
        <v>259</v>
      </c>
      <c r="D34" t="s">
        <v>245</v>
      </c>
    </row>
    <row r="35" spans="1:4" x14ac:dyDescent="0.25">
      <c r="A35" t="s">
        <v>108</v>
      </c>
      <c r="B35" t="s">
        <v>108</v>
      </c>
      <c r="C35" t="s">
        <v>260</v>
      </c>
      <c r="D35" t="s">
        <v>245</v>
      </c>
    </row>
    <row r="36" spans="1:4" x14ac:dyDescent="0.25">
      <c r="A36" t="s">
        <v>261</v>
      </c>
      <c r="B36" t="s">
        <v>261</v>
      </c>
      <c r="C36" t="s">
        <v>262</v>
      </c>
      <c r="D36" t="s">
        <v>245</v>
      </c>
    </row>
    <row r="37" spans="1:4" x14ac:dyDescent="0.25">
      <c r="A37" t="s">
        <v>263</v>
      </c>
      <c r="B37" t="s">
        <v>263</v>
      </c>
      <c r="C37" t="s">
        <v>263</v>
      </c>
      <c r="D37" t="s">
        <v>237</v>
      </c>
    </row>
    <row r="38" spans="1:4" x14ac:dyDescent="0.25">
      <c r="A38" t="s">
        <v>264</v>
      </c>
      <c r="B38" t="s">
        <v>264</v>
      </c>
      <c r="C38" t="s">
        <v>265</v>
      </c>
      <c r="D38" t="s">
        <v>237</v>
      </c>
    </row>
    <row r="39" spans="1:4" x14ac:dyDescent="0.25">
      <c r="A39" t="s">
        <v>266</v>
      </c>
      <c r="B39" t="s">
        <v>266</v>
      </c>
      <c r="C39" t="s">
        <v>267</v>
      </c>
      <c r="D39" t="s">
        <v>237</v>
      </c>
    </row>
    <row r="40" spans="1:4" ht="135" x14ac:dyDescent="0.25">
      <c r="A40" t="s">
        <v>268</v>
      </c>
      <c r="B40" s="457" t="s">
        <v>1033</v>
      </c>
      <c r="C40" s="68" t="s">
        <v>269</v>
      </c>
      <c r="D40" t="s">
        <v>270</v>
      </c>
    </row>
    <row r="41" spans="1:4" ht="135" x14ac:dyDescent="0.25">
      <c r="A41" t="s">
        <v>271</v>
      </c>
      <c r="B41" s="457" t="s">
        <v>1034</v>
      </c>
      <c r="C41" s="68" t="s">
        <v>272</v>
      </c>
      <c r="D41" t="s">
        <v>170</v>
      </c>
    </row>
    <row r="42" spans="1:4" x14ac:dyDescent="0.25">
      <c r="A42" t="s">
        <v>273</v>
      </c>
      <c r="B42" t="s">
        <v>273</v>
      </c>
      <c r="C42" t="s">
        <v>274</v>
      </c>
      <c r="D42" t="s">
        <v>270</v>
      </c>
    </row>
    <row r="43" spans="1:4" x14ac:dyDescent="0.25">
      <c r="A43" t="s">
        <v>275</v>
      </c>
      <c r="B43" t="s">
        <v>275</v>
      </c>
      <c r="C43" t="s">
        <v>276</v>
      </c>
      <c r="D43" t="s">
        <v>270</v>
      </c>
    </row>
    <row r="44" spans="1:4" x14ac:dyDescent="0.25">
      <c r="A44" t="s">
        <v>277</v>
      </c>
      <c r="B44" t="s">
        <v>277</v>
      </c>
      <c r="C44" t="s">
        <v>278</v>
      </c>
      <c r="D44" t="s">
        <v>270</v>
      </c>
    </row>
    <row r="45" spans="1:4" x14ac:dyDescent="0.25">
      <c r="A45" t="s">
        <v>279</v>
      </c>
      <c r="B45" t="s">
        <v>279</v>
      </c>
      <c r="C45" t="s">
        <v>280</v>
      </c>
      <c r="D45" t="s">
        <v>170</v>
      </c>
    </row>
    <row r="46" spans="1:4" x14ac:dyDescent="0.25">
      <c r="A46" t="s">
        <v>281</v>
      </c>
      <c r="B46" t="s">
        <v>281</v>
      </c>
      <c r="C46" t="s">
        <v>282</v>
      </c>
      <c r="D46" t="s">
        <v>170</v>
      </c>
    </row>
    <row r="47" spans="1:4" x14ac:dyDescent="0.25">
      <c r="A47" t="s">
        <v>283</v>
      </c>
      <c r="B47" t="s">
        <v>283</v>
      </c>
      <c r="C47" t="s">
        <v>284</v>
      </c>
      <c r="D47" t="s">
        <v>170</v>
      </c>
    </row>
    <row r="48" spans="1:4" x14ac:dyDescent="0.25">
      <c r="A48" t="s">
        <v>285</v>
      </c>
      <c r="B48" t="s">
        <v>285</v>
      </c>
      <c r="C48" t="s">
        <v>286</v>
      </c>
      <c r="D48" t="s">
        <v>287</v>
      </c>
    </row>
    <row r="49" spans="1:4" x14ac:dyDescent="0.25">
      <c r="A49" t="s">
        <v>288</v>
      </c>
      <c r="B49" t="s">
        <v>289</v>
      </c>
      <c r="C49" t="s">
        <v>290</v>
      </c>
      <c r="D49" t="s">
        <v>287</v>
      </c>
    </row>
    <row r="50" spans="1:4" x14ac:dyDescent="0.25">
      <c r="A50" t="s">
        <v>291</v>
      </c>
      <c r="B50" t="s">
        <v>291</v>
      </c>
      <c r="C50" t="s">
        <v>292</v>
      </c>
      <c r="D50" t="s">
        <v>287</v>
      </c>
    </row>
    <row r="51" spans="1:4" x14ac:dyDescent="0.25">
      <c r="A51" t="s">
        <v>293</v>
      </c>
      <c r="B51" t="s">
        <v>293</v>
      </c>
      <c r="C51" t="s">
        <v>294</v>
      </c>
      <c r="D51" t="s">
        <v>287</v>
      </c>
    </row>
    <row r="52" spans="1:4" x14ac:dyDescent="0.25">
      <c r="A52" t="s">
        <v>120</v>
      </c>
      <c r="B52" t="s">
        <v>120</v>
      </c>
      <c r="C52" t="s">
        <v>295</v>
      </c>
      <c r="D52" t="s">
        <v>287</v>
      </c>
    </row>
    <row r="53" spans="1:4" x14ac:dyDescent="0.25">
      <c r="A53" t="s">
        <v>154</v>
      </c>
      <c r="B53" t="s">
        <v>154</v>
      </c>
      <c r="C53" t="s">
        <v>296</v>
      </c>
      <c r="D53" t="s">
        <v>287</v>
      </c>
    </row>
    <row r="54" spans="1:4" x14ac:dyDescent="0.25">
      <c r="A54" t="s">
        <v>170</v>
      </c>
      <c r="B54" t="s">
        <v>170</v>
      </c>
      <c r="C54" t="s">
        <v>297</v>
      </c>
      <c r="D54" t="s">
        <v>287</v>
      </c>
    </row>
    <row r="55" spans="1:4" ht="30" x14ac:dyDescent="0.25">
      <c r="A55" s="68" t="s">
        <v>298</v>
      </c>
      <c r="B55" s="68" t="s">
        <v>299</v>
      </c>
      <c r="C55" s="68" t="s">
        <v>853</v>
      </c>
      <c r="D55" t="s">
        <v>287</v>
      </c>
    </row>
    <row r="56" spans="1:4" ht="30" x14ac:dyDescent="0.25">
      <c r="A56" t="s">
        <v>300</v>
      </c>
      <c r="B56" s="68" t="s">
        <v>155</v>
      </c>
      <c r="C56" s="68" t="s">
        <v>301</v>
      </c>
      <c r="D56" t="s">
        <v>107</v>
      </c>
    </row>
    <row r="57" spans="1:4" ht="30" x14ac:dyDescent="0.25">
      <c r="A57" t="s">
        <v>302</v>
      </c>
      <c r="B57" s="68" t="s">
        <v>157</v>
      </c>
      <c r="C57" s="68" t="s">
        <v>303</v>
      </c>
      <c r="D57" t="s">
        <v>107</v>
      </c>
    </row>
    <row r="58" spans="1:4" ht="30" x14ac:dyDescent="0.25">
      <c r="A58" t="s">
        <v>304</v>
      </c>
      <c r="B58" s="68" t="s">
        <v>159</v>
      </c>
      <c r="C58" s="68" t="s">
        <v>305</v>
      </c>
      <c r="D58" t="s">
        <v>107</v>
      </c>
    </row>
    <row r="59" spans="1:4" ht="30" x14ac:dyDescent="0.25">
      <c r="A59" t="s">
        <v>306</v>
      </c>
      <c r="B59" s="68" t="s">
        <v>161</v>
      </c>
      <c r="C59" s="68" t="s">
        <v>307</v>
      </c>
      <c r="D59" t="s">
        <v>107</v>
      </c>
    </row>
    <row r="60" spans="1:4" ht="30" x14ac:dyDescent="0.25">
      <c r="A60" t="s">
        <v>308</v>
      </c>
      <c r="B60" s="68" t="s">
        <v>164</v>
      </c>
      <c r="C60" s="68" t="s">
        <v>309</v>
      </c>
      <c r="D60" t="s">
        <v>107</v>
      </c>
    </row>
    <row r="61" spans="1:4" ht="30" x14ac:dyDescent="0.25">
      <c r="A61" t="s">
        <v>310</v>
      </c>
      <c r="B61" s="68" t="s">
        <v>167</v>
      </c>
      <c r="C61" s="68" t="s">
        <v>311</v>
      </c>
      <c r="D61" t="s">
        <v>107</v>
      </c>
    </row>
    <row r="62" spans="1:4" ht="30" x14ac:dyDescent="0.25">
      <c r="A62" t="s">
        <v>312</v>
      </c>
      <c r="B62" s="68" t="s">
        <v>313</v>
      </c>
      <c r="C62" s="68" t="s">
        <v>314</v>
      </c>
      <c r="D62" t="s">
        <v>107</v>
      </c>
    </row>
    <row r="63" spans="1:4" x14ac:dyDescent="0.25">
      <c r="A63" t="s">
        <v>315</v>
      </c>
      <c r="B63" t="s">
        <v>156</v>
      </c>
      <c r="C63" t="s">
        <v>316</v>
      </c>
      <c r="D63" t="s">
        <v>107</v>
      </c>
    </row>
    <row r="64" spans="1:4" x14ac:dyDescent="0.25">
      <c r="A64" t="s">
        <v>317</v>
      </c>
      <c r="B64" t="s">
        <v>158</v>
      </c>
      <c r="C64" t="s">
        <v>318</v>
      </c>
      <c r="D64" t="s">
        <v>107</v>
      </c>
    </row>
    <row r="65" spans="1:4" x14ac:dyDescent="0.25">
      <c r="A65" t="s">
        <v>319</v>
      </c>
      <c r="B65" t="s">
        <v>160</v>
      </c>
      <c r="C65" t="s">
        <v>320</v>
      </c>
      <c r="D65" t="s">
        <v>107</v>
      </c>
    </row>
    <row r="66" spans="1:4" x14ac:dyDescent="0.25">
      <c r="A66" t="s">
        <v>321</v>
      </c>
      <c r="B66" t="s">
        <v>162</v>
      </c>
      <c r="C66" t="s">
        <v>322</v>
      </c>
      <c r="D66" t="s">
        <v>107</v>
      </c>
    </row>
    <row r="67" spans="1:4" x14ac:dyDescent="0.25">
      <c r="A67" t="s">
        <v>323</v>
      </c>
      <c r="B67" t="s">
        <v>165</v>
      </c>
      <c r="C67" t="s">
        <v>324</v>
      </c>
      <c r="D67" t="s">
        <v>107</v>
      </c>
    </row>
    <row r="68" spans="1:4" x14ac:dyDescent="0.25">
      <c r="A68" t="s">
        <v>325</v>
      </c>
      <c r="B68" t="s">
        <v>168</v>
      </c>
      <c r="C68" t="s">
        <v>850</v>
      </c>
      <c r="D68" t="s">
        <v>107</v>
      </c>
    </row>
    <row r="69" spans="1:4" x14ac:dyDescent="0.25">
      <c r="A69" t="s">
        <v>326</v>
      </c>
      <c r="B69" t="s">
        <v>169</v>
      </c>
      <c r="C69" t="s">
        <v>169</v>
      </c>
      <c r="D69" t="s">
        <v>107</v>
      </c>
    </row>
    <row r="70" spans="1:4" x14ac:dyDescent="0.25">
      <c r="A70" t="s">
        <v>327</v>
      </c>
      <c r="B70" t="s">
        <v>695</v>
      </c>
      <c r="C70" t="s">
        <v>852</v>
      </c>
      <c r="D70" t="s">
        <v>107</v>
      </c>
    </row>
    <row r="71" spans="1:4" x14ac:dyDescent="0.25">
      <c r="A71" t="s">
        <v>329</v>
      </c>
      <c r="B71" t="s">
        <v>685</v>
      </c>
      <c r="C71" t="s">
        <v>851</v>
      </c>
      <c r="D71" t="s">
        <v>107</v>
      </c>
    </row>
    <row r="72" spans="1:4" ht="30" x14ac:dyDescent="0.25">
      <c r="A72" t="s">
        <v>330</v>
      </c>
      <c r="B72" s="68" t="s">
        <v>121</v>
      </c>
      <c r="C72" s="68" t="s">
        <v>331</v>
      </c>
      <c r="D72" t="s">
        <v>107</v>
      </c>
    </row>
    <row r="73" spans="1:4" ht="30" x14ac:dyDescent="0.25">
      <c r="A73" t="s">
        <v>332</v>
      </c>
      <c r="B73" s="68" t="s">
        <v>126</v>
      </c>
      <c r="C73" s="68" t="s">
        <v>333</v>
      </c>
      <c r="D73" t="s">
        <v>107</v>
      </c>
    </row>
    <row r="74" spans="1:4" ht="30" x14ac:dyDescent="0.25">
      <c r="A74" t="s">
        <v>334</v>
      </c>
      <c r="B74" s="68" t="s">
        <v>129</v>
      </c>
      <c r="C74" s="68" t="s">
        <v>335</v>
      </c>
      <c r="D74" t="s">
        <v>107</v>
      </c>
    </row>
    <row r="75" spans="1:4" ht="30" x14ac:dyDescent="0.25">
      <c r="A75" t="s">
        <v>336</v>
      </c>
      <c r="B75" s="68" t="s">
        <v>135</v>
      </c>
      <c r="C75" s="68" t="s">
        <v>337</v>
      </c>
      <c r="D75" t="s">
        <v>107</v>
      </c>
    </row>
    <row r="76" spans="1:4" ht="30" x14ac:dyDescent="0.25">
      <c r="A76" t="s">
        <v>338</v>
      </c>
      <c r="B76" s="68" t="s">
        <v>784</v>
      </c>
      <c r="C76" s="68" t="s">
        <v>786</v>
      </c>
      <c r="D76" t="s">
        <v>107</v>
      </c>
    </row>
    <row r="77" spans="1:4" ht="30" x14ac:dyDescent="0.25">
      <c r="A77" t="s">
        <v>339</v>
      </c>
      <c r="B77" s="68" t="s">
        <v>785</v>
      </c>
      <c r="C77" s="68" t="s">
        <v>787</v>
      </c>
      <c r="D77" t="s">
        <v>107</v>
      </c>
    </row>
    <row r="78" spans="1:4" x14ac:dyDescent="0.25">
      <c r="A78" t="s">
        <v>340</v>
      </c>
      <c r="B78" t="s">
        <v>122</v>
      </c>
      <c r="C78" t="s">
        <v>341</v>
      </c>
      <c r="D78" t="s">
        <v>107</v>
      </c>
    </row>
    <row r="79" spans="1:4" x14ac:dyDescent="0.25">
      <c r="A79" t="s">
        <v>342</v>
      </c>
      <c r="B79" t="s">
        <v>123</v>
      </c>
      <c r="C79" t="s">
        <v>343</v>
      </c>
      <c r="D79" t="s">
        <v>107</v>
      </c>
    </row>
    <row r="80" spans="1:4" x14ac:dyDescent="0.25">
      <c r="A80" t="s">
        <v>344</v>
      </c>
      <c r="B80" t="s">
        <v>124</v>
      </c>
      <c r="C80" t="s">
        <v>345</v>
      </c>
      <c r="D80" t="s">
        <v>107</v>
      </c>
    </row>
    <row r="81" spans="1:4" x14ac:dyDescent="0.25">
      <c r="A81" t="s">
        <v>346</v>
      </c>
      <c r="B81" t="s">
        <v>125</v>
      </c>
      <c r="C81" t="s">
        <v>347</v>
      </c>
      <c r="D81" t="s">
        <v>107</v>
      </c>
    </row>
    <row r="82" spans="1:4" x14ac:dyDescent="0.25">
      <c r="A82" t="s">
        <v>348</v>
      </c>
      <c r="B82" t="s">
        <v>127</v>
      </c>
      <c r="C82" t="s">
        <v>349</v>
      </c>
      <c r="D82" t="s">
        <v>107</v>
      </c>
    </row>
    <row r="83" spans="1:4" x14ac:dyDescent="0.25">
      <c r="A83" t="s">
        <v>350</v>
      </c>
      <c r="B83" t="s">
        <v>128</v>
      </c>
      <c r="C83" t="s">
        <v>351</v>
      </c>
      <c r="D83" t="s">
        <v>107</v>
      </c>
    </row>
    <row r="84" spans="1:4" x14ac:dyDescent="0.25">
      <c r="A84" t="s">
        <v>352</v>
      </c>
      <c r="B84" t="s">
        <v>353</v>
      </c>
      <c r="C84" t="s">
        <v>849</v>
      </c>
      <c r="D84" t="s">
        <v>107</v>
      </c>
    </row>
    <row r="85" spans="1:4" x14ac:dyDescent="0.25">
      <c r="A85" t="s">
        <v>354</v>
      </c>
      <c r="B85" t="s">
        <v>355</v>
      </c>
      <c r="C85" t="s">
        <v>356</v>
      </c>
      <c r="D85" t="s">
        <v>107</v>
      </c>
    </row>
    <row r="86" spans="1:4" x14ac:dyDescent="0.25">
      <c r="A86" t="s">
        <v>357</v>
      </c>
      <c r="B86" t="s">
        <v>137</v>
      </c>
      <c r="C86" t="s">
        <v>358</v>
      </c>
      <c r="D86" t="s">
        <v>107</v>
      </c>
    </row>
    <row r="87" spans="1:4" x14ac:dyDescent="0.25">
      <c r="A87" t="s">
        <v>359</v>
      </c>
      <c r="B87" t="s">
        <v>139</v>
      </c>
      <c r="C87" t="s">
        <v>729</v>
      </c>
      <c r="D87" t="s">
        <v>107</v>
      </c>
    </row>
    <row r="88" spans="1:4" x14ac:dyDescent="0.25">
      <c r="A88" t="s">
        <v>361</v>
      </c>
      <c r="B88" t="s">
        <v>362</v>
      </c>
      <c r="C88" t="s">
        <v>363</v>
      </c>
      <c r="D88" t="s">
        <v>107</v>
      </c>
    </row>
    <row r="89" spans="1:4" x14ac:dyDescent="0.25">
      <c r="A89" t="s">
        <v>364</v>
      </c>
      <c r="B89" t="s">
        <v>76</v>
      </c>
      <c r="C89" t="s">
        <v>365</v>
      </c>
      <c r="D89" t="s">
        <v>107</v>
      </c>
    </row>
    <row r="90" spans="1:4" x14ac:dyDescent="0.25">
      <c r="A90" t="s">
        <v>366</v>
      </c>
      <c r="B90" t="s">
        <v>367</v>
      </c>
      <c r="C90" t="s">
        <v>848</v>
      </c>
      <c r="D90" t="s">
        <v>107</v>
      </c>
    </row>
    <row r="91" spans="1:4" x14ac:dyDescent="0.25">
      <c r="A91" t="s">
        <v>368</v>
      </c>
      <c r="B91" t="s">
        <v>150</v>
      </c>
      <c r="C91" t="s">
        <v>369</v>
      </c>
      <c r="D91" t="s">
        <v>107</v>
      </c>
    </row>
    <row r="92" spans="1:4" x14ac:dyDescent="0.25">
      <c r="A92" t="s">
        <v>370</v>
      </c>
      <c r="B92" t="s">
        <v>700</v>
      </c>
      <c r="C92" t="s">
        <v>701</v>
      </c>
      <c r="D92" t="s">
        <v>107</v>
      </c>
    </row>
    <row r="93" spans="1:4" ht="30" x14ac:dyDescent="0.25">
      <c r="A93" t="s">
        <v>371</v>
      </c>
      <c r="B93" s="68" t="s">
        <v>171</v>
      </c>
      <c r="C93" s="68" t="s">
        <v>372</v>
      </c>
      <c r="D93" t="s">
        <v>107</v>
      </c>
    </row>
    <row r="94" spans="1:4" ht="30" x14ac:dyDescent="0.25">
      <c r="A94" t="s">
        <v>373</v>
      </c>
      <c r="B94" s="68" t="s">
        <v>175</v>
      </c>
      <c r="C94" s="68" t="s">
        <v>374</v>
      </c>
      <c r="D94" t="s">
        <v>107</v>
      </c>
    </row>
    <row r="95" spans="1:4" ht="30" x14ac:dyDescent="0.25">
      <c r="A95" t="s">
        <v>375</v>
      </c>
      <c r="B95" s="68" t="s">
        <v>179</v>
      </c>
      <c r="C95" s="68" t="s">
        <v>376</v>
      </c>
      <c r="D95" t="s">
        <v>107</v>
      </c>
    </row>
    <row r="96" spans="1:4" ht="30" x14ac:dyDescent="0.25">
      <c r="A96" t="s">
        <v>377</v>
      </c>
      <c r="B96" s="68" t="s">
        <v>182</v>
      </c>
      <c r="C96" s="68" t="s">
        <v>378</v>
      </c>
      <c r="D96" t="s">
        <v>107</v>
      </c>
    </row>
    <row r="97" spans="1:4" ht="30" x14ac:dyDescent="0.25">
      <c r="A97" t="s">
        <v>379</v>
      </c>
      <c r="B97" s="68" t="s">
        <v>186</v>
      </c>
      <c r="C97" s="68" t="s">
        <v>380</v>
      </c>
      <c r="D97" t="s">
        <v>107</v>
      </c>
    </row>
    <row r="98" spans="1:4" x14ac:dyDescent="0.25">
      <c r="A98" t="s">
        <v>381</v>
      </c>
      <c r="B98" t="s">
        <v>172</v>
      </c>
      <c r="C98" t="s">
        <v>382</v>
      </c>
      <c r="D98" t="s">
        <v>107</v>
      </c>
    </row>
    <row r="99" spans="1:4" x14ac:dyDescent="0.25">
      <c r="A99" t="s">
        <v>383</v>
      </c>
      <c r="B99" t="s">
        <v>94</v>
      </c>
      <c r="C99" t="s">
        <v>384</v>
      </c>
      <c r="D99" t="s">
        <v>107</v>
      </c>
    </row>
    <row r="100" spans="1:4" x14ac:dyDescent="0.25">
      <c r="A100" t="s">
        <v>385</v>
      </c>
      <c r="B100" t="s">
        <v>173</v>
      </c>
      <c r="C100" t="s">
        <v>386</v>
      </c>
      <c r="D100" t="s">
        <v>107</v>
      </c>
    </row>
    <row r="101" spans="1:4" x14ac:dyDescent="0.25">
      <c r="A101" t="s">
        <v>387</v>
      </c>
      <c r="B101" t="s">
        <v>176</v>
      </c>
      <c r="C101" t="s">
        <v>388</v>
      </c>
      <c r="D101" t="s">
        <v>107</v>
      </c>
    </row>
    <row r="102" spans="1:4" x14ac:dyDescent="0.25">
      <c r="A102" t="s">
        <v>389</v>
      </c>
      <c r="B102" t="s">
        <v>177</v>
      </c>
      <c r="C102" t="s">
        <v>390</v>
      </c>
      <c r="D102" t="s">
        <v>107</v>
      </c>
    </row>
    <row r="103" spans="1:4" x14ac:dyDescent="0.25">
      <c r="A103" t="s">
        <v>391</v>
      </c>
      <c r="B103" t="s">
        <v>178</v>
      </c>
      <c r="C103" t="s">
        <v>392</v>
      </c>
      <c r="D103" t="s">
        <v>107</v>
      </c>
    </row>
    <row r="104" spans="1:4" x14ac:dyDescent="0.25">
      <c r="A104" t="s">
        <v>393</v>
      </c>
      <c r="B104" t="s">
        <v>180</v>
      </c>
      <c r="C104" t="s">
        <v>394</v>
      </c>
      <c r="D104" t="s">
        <v>107</v>
      </c>
    </row>
    <row r="105" spans="1:4" x14ac:dyDescent="0.25">
      <c r="A105" t="s">
        <v>395</v>
      </c>
      <c r="B105" t="s">
        <v>181</v>
      </c>
      <c r="C105" t="s">
        <v>396</v>
      </c>
      <c r="D105" t="s">
        <v>107</v>
      </c>
    </row>
    <row r="106" spans="1:4" x14ac:dyDescent="0.25">
      <c r="A106" t="s">
        <v>397</v>
      </c>
      <c r="B106" t="s">
        <v>100</v>
      </c>
      <c r="C106" t="s">
        <v>412</v>
      </c>
      <c r="D106" t="s">
        <v>107</v>
      </c>
    </row>
    <row r="107" spans="1:4" x14ac:dyDescent="0.25">
      <c r="A107" t="s">
        <v>398</v>
      </c>
      <c r="B107" t="s">
        <v>1035</v>
      </c>
      <c r="C107" t="s">
        <v>399</v>
      </c>
      <c r="D107" t="s">
        <v>107</v>
      </c>
    </row>
    <row r="108" spans="1:4" x14ac:dyDescent="0.25">
      <c r="A108" t="s">
        <v>400</v>
      </c>
      <c r="B108" t="s">
        <v>401</v>
      </c>
      <c r="C108" t="s">
        <v>402</v>
      </c>
      <c r="D108" t="s">
        <v>107</v>
      </c>
    </row>
    <row r="109" spans="1:4" x14ac:dyDescent="0.25">
      <c r="A109" t="s">
        <v>403</v>
      </c>
      <c r="B109" t="s">
        <v>404</v>
      </c>
      <c r="C109" t="s">
        <v>405</v>
      </c>
      <c r="D109" t="s">
        <v>107</v>
      </c>
    </row>
    <row r="110" spans="1:4" x14ac:dyDescent="0.25">
      <c r="A110" t="s">
        <v>406</v>
      </c>
      <c r="B110" t="s">
        <v>407</v>
      </c>
      <c r="C110" t="s">
        <v>408</v>
      </c>
      <c r="D110" t="s">
        <v>107</v>
      </c>
    </row>
    <row r="111" spans="1:4" x14ac:dyDescent="0.25">
      <c r="A111" t="s">
        <v>409</v>
      </c>
      <c r="B111" t="s">
        <v>189</v>
      </c>
      <c r="C111" t="s">
        <v>410</v>
      </c>
      <c r="D111" t="s">
        <v>107</v>
      </c>
    </row>
    <row r="112" spans="1:4" x14ac:dyDescent="0.25">
      <c r="A112" t="s">
        <v>102</v>
      </c>
      <c r="B112" t="str">
        <f>RIGHT(B97,LEN(B97)-3)</f>
        <v>Expertise development</v>
      </c>
      <c r="C112" t="str">
        <f>RIGHT(C97,LEN(C97)-3)</f>
        <v>Développement des expertises</v>
      </c>
      <c r="D112" t="s">
        <v>411</v>
      </c>
    </row>
    <row r="113" spans="1:4" x14ac:dyDescent="0.25">
      <c r="A113" t="s">
        <v>100</v>
      </c>
      <c r="B113" t="s">
        <v>100</v>
      </c>
      <c r="C113" t="s">
        <v>412</v>
      </c>
      <c r="D113" t="s">
        <v>411</v>
      </c>
    </row>
    <row r="114" spans="1:4" x14ac:dyDescent="0.25">
      <c r="A114" t="s">
        <v>413</v>
      </c>
      <c r="B114" t="s">
        <v>413</v>
      </c>
      <c r="C114" t="s">
        <v>414</v>
      </c>
      <c r="D114" t="s">
        <v>411</v>
      </c>
    </row>
    <row r="115" spans="1:4" x14ac:dyDescent="0.25">
      <c r="A115" t="s">
        <v>96</v>
      </c>
      <c r="B115" t="s">
        <v>96</v>
      </c>
      <c r="C115" t="s">
        <v>415</v>
      </c>
      <c r="D115" t="s">
        <v>411</v>
      </c>
    </row>
    <row r="116" spans="1:4" x14ac:dyDescent="0.25">
      <c r="A116" t="s">
        <v>94</v>
      </c>
      <c r="B116" t="s">
        <v>94</v>
      </c>
      <c r="C116" t="s">
        <v>384</v>
      </c>
      <c r="D116" t="s">
        <v>411</v>
      </c>
    </row>
    <row r="117" spans="1:4" x14ac:dyDescent="0.25">
      <c r="A117" t="s">
        <v>92</v>
      </c>
      <c r="B117" t="s">
        <v>92</v>
      </c>
      <c r="C117" t="s">
        <v>416</v>
      </c>
      <c r="D117" t="s">
        <v>411</v>
      </c>
    </row>
    <row r="118" spans="1:4" x14ac:dyDescent="0.25">
      <c r="A118" t="s">
        <v>90</v>
      </c>
      <c r="B118" s="68" t="s">
        <v>90</v>
      </c>
      <c r="C118" s="68" t="s">
        <v>417</v>
      </c>
      <c r="D118" t="s">
        <v>411</v>
      </c>
    </row>
    <row r="119" spans="1:4" x14ac:dyDescent="0.25">
      <c r="A119" t="s">
        <v>88</v>
      </c>
      <c r="B119" s="68" t="s">
        <v>88</v>
      </c>
      <c r="C119" s="68" t="s">
        <v>418</v>
      </c>
      <c r="D119" t="s">
        <v>411</v>
      </c>
    </row>
    <row r="120" spans="1:4" x14ac:dyDescent="0.25">
      <c r="A120" t="s">
        <v>86</v>
      </c>
      <c r="B120" s="68" t="s">
        <v>86</v>
      </c>
      <c r="C120" s="68" t="s">
        <v>320</v>
      </c>
      <c r="D120" t="s">
        <v>411</v>
      </c>
    </row>
    <row r="121" spans="1:4" x14ac:dyDescent="0.25">
      <c r="A121" t="s">
        <v>84</v>
      </c>
      <c r="B121" s="68" t="s">
        <v>84</v>
      </c>
      <c r="C121" s="68" t="s">
        <v>419</v>
      </c>
      <c r="D121" t="s">
        <v>411</v>
      </c>
    </row>
    <row r="122" spans="1:4" x14ac:dyDescent="0.25">
      <c r="A122" t="s">
        <v>82</v>
      </c>
      <c r="B122" s="68" t="s">
        <v>82</v>
      </c>
      <c r="C122" t="s">
        <v>420</v>
      </c>
      <c r="D122" t="s">
        <v>411</v>
      </c>
    </row>
    <row r="123" spans="1:4" x14ac:dyDescent="0.25">
      <c r="A123" t="s">
        <v>77</v>
      </c>
      <c r="B123" t="s">
        <v>77</v>
      </c>
      <c r="C123" t="s">
        <v>421</v>
      </c>
      <c r="D123" t="s">
        <v>411</v>
      </c>
    </row>
    <row r="124" spans="1:4" x14ac:dyDescent="0.25">
      <c r="A124" t="s">
        <v>76</v>
      </c>
      <c r="B124" s="68" t="s">
        <v>76</v>
      </c>
      <c r="C124" t="s">
        <v>365</v>
      </c>
      <c r="D124" t="s">
        <v>411</v>
      </c>
    </row>
    <row r="125" spans="1:4" x14ac:dyDescent="0.25">
      <c r="A125" t="s">
        <v>80</v>
      </c>
      <c r="B125" t="s">
        <v>80</v>
      </c>
      <c r="C125" t="s">
        <v>422</v>
      </c>
      <c r="D125" t="s">
        <v>411</v>
      </c>
    </row>
    <row r="126" spans="1:4" x14ac:dyDescent="0.25">
      <c r="A126" t="s">
        <v>75</v>
      </c>
      <c r="B126" t="s">
        <v>75</v>
      </c>
      <c r="C126" t="s">
        <v>423</v>
      </c>
      <c r="D126" t="s">
        <v>411</v>
      </c>
    </row>
    <row r="127" spans="1:4" x14ac:dyDescent="0.25">
      <c r="A127" t="s">
        <v>73</v>
      </c>
      <c r="B127" t="s">
        <v>73</v>
      </c>
      <c r="C127" t="s">
        <v>424</v>
      </c>
      <c r="D127" t="s">
        <v>411</v>
      </c>
    </row>
    <row r="128" spans="1:4" x14ac:dyDescent="0.25">
      <c r="A128" t="s">
        <v>425</v>
      </c>
      <c r="B128" s="68" t="s">
        <v>425</v>
      </c>
      <c r="C128" s="68" t="s">
        <v>847</v>
      </c>
      <c r="D128" t="s">
        <v>411</v>
      </c>
    </row>
    <row r="129" spans="1:4" x14ac:dyDescent="0.25">
      <c r="A129" t="s">
        <v>426</v>
      </c>
      <c r="B129" s="68" t="s">
        <v>426</v>
      </c>
      <c r="C129" s="68" t="s">
        <v>427</v>
      </c>
      <c r="D129" t="s">
        <v>411</v>
      </c>
    </row>
    <row r="130" spans="1:4" x14ac:dyDescent="0.25">
      <c r="A130" t="s">
        <v>428</v>
      </c>
      <c r="B130" t="s">
        <v>428</v>
      </c>
      <c r="C130" t="s">
        <v>429</v>
      </c>
      <c r="D130" t="s">
        <v>411</v>
      </c>
    </row>
    <row r="131" spans="1:4" x14ac:dyDescent="0.25">
      <c r="A131" t="s">
        <v>761</v>
      </c>
      <c r="B131" t="s">
        <v>765</v>
      </c>
      <c r="C131" t="s">
        <v>762</v>
      </c>
      <c r="D131" t="s">
        <v>411</v>
      </c>
    </row>
    <row r="138" spans="1:4" x14ac:dyDescent="0.25">
      <c r="B138" s="68"/>
      <c r="C138" s="68"/>
    </row>
    <row r="139" spans="1:4" x14ac:dyDescent="0.25">
      <c r="B139" s="68"/>
      <c r="C139" s="68"/>
    </row>
    <row r="140" spans="1:4" x14ac:dyDescent="0.25">
      <c r="B140" s="68"/>
      <c r="C140" s="68"/>
    </row>
    <row r="141" spans="1:4" x14ac:dyDescent="0.25">
      <c r="B141" s="68"/>
      <c r="C141" s="68"/>
    </row>
    <row r="142" spans="1:4" x14ac:dyDescent="0.25">
      <c r="B142" s="68"/>
    </row>
    <row r="143" spans="1:4" x14ac:dyDescent="0.25">
      <c r="B143" s="68"/>
      <c r="C143" s="68"/>
    </row>
    <row r="144" spans="1:4" x14ac:dyDescent="0.25">
      <c r="B144" s="68"/>
    </row>
    <row r="145" spans="2:3" x14ac:dyDescent="0.25">
      <c r="B145" s="68"/>
      <c r="C145" s="68"/>
    </row>
    <row r="146" spans="2:3" x14ac:dyDescent="0.25">
      <c r="B146" s="68"/>
    </row>
    <row r="147" spans="2:3" x14ac:dyDescent="0.25">
      <c r="B147" s="68"/>
      <c r="C147" s="68"/>
    </row>
    <row r="149" spans="2:3" x14ac:dyDescent="0.25">
      <c r="C149" s="68"/>
    </row>
    <row r="151" spans="2:3" x14ac:dyDescent="0.25">
      <c r="C151" s="68"/>
    </row>
    <row r="153" spans="2:3" x14ac:dyDescent="0.25">
      <c r="C153" s="68"/>
    </row>
    <row r="155" spans="2:3" x14ac:dyDescent="0.25">
      <c r="C155" s="68"/>
    </row>
  </sheetData>
  <sheetProtection algorithmName="SHA-512" hashValue="Ygia4hJhOk6QWeoJX7IARCrKJYBhSVeip+l46aKiSf7ZmcmaatLF1z/Oz6DNZz/pvcA0cnGpLPw8ri2zQuo3rA==" saltValue="sHmB0lxMZ7vX6IPshB9+iA==" spinCount="100000" sheet="1" objects="1" scenarios="1"/>
  <phoneticPr fontId="84"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C8F7E3C05828F46AD3E2CBBA5EDCB54" ma:contentTypeVersion="11" ma:contentTypeDescription="Opret et nyt dokument." ma:contentTypeScope="" ma:versionID="d80f59237e6f804e29aae73465762db9">
  <xsd:schema xmlns:xsd="http://www.w3.org/2001/XMLSchema" xmlns:xs="http://www.w3.org/2001/XMLSchema" xmlns:p="http://schemas.microsoft.com/office/2006/metadata/properties" xmlns:ns2="279e289f-982f-4200-b2a7-e1615d48bc16" targetNamespace="http://schemas.microsoft.com/office/2006/metadata/properties" ma:root="true" ma:fieldsID="0920d7e36af2142aefa8c8be2b3b379c" ns2:_="">
    <xsd:import namespace="279e289f-982f-4200-b2a7-e1615d48bc16"/>
    <xsd:element name="properties">
      <xsd:complexType>
        <xsd:sequence>
          <xsd:element name="documentManagement">
            <xsd:complexType>
              <xsd:all>
                <xsd:element ref="ns2:MediaServiceSearchProperties" minOccurs="0"/>
                <xsd:element ref="ns2:MediaServiceObjectDetectorVersions" minOccurs="0"/>
                <xsd:element ref="ns2:MediaServiceMetadata" minOccurs="0"/>
                <xsd:element ref="ns2:MediaServiceFastMetadata" minOccurs="0"/>
                <xsd:element ref="ns2:MediaServiceBillingMetadata"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9e289f-982f-4200-b2a7-e1615d48bc16" elementFormDefault="qualified">
    <xsd:import namespace="http://schemas.microsoft.com/office/2006/documentManagement/types"/>
    <xsd:import namespace="http://schemas.microsoft.com/office/infopath/2007/PartnerControls"/>
    <xsd:element name="MediaServiceSearchProperties" ma:index="8" nillable="true" ma:displayName="MediaServiceSearchProperties" ma:hidden="true" ma:internalName="MediaServiceSearchProperties" ma:readOnly="true">
      <xsd:simpleType>
        <xsd:restriction base="dms:Note"/>
      </xsd:simpleType>
    </xsd:element>
    <xsd:element name="MediaServiceObjectDetectorVersions" ma:index="9" nillable="true" ma:displayName="MediaServiceObjectDetectorVersions" ma:hidden="true" ma:indexed="true" ma:internalName="MediaServiceObjectDetectorVersions" ma:readOnly="true">
      <xsd:simpleType>
        <xsd:restriction base="dms:Text"/>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BillingMetadata" ma:index="12" nillable="true" ma:displayName="MediaServiceBillingMetadata" ma:hidden="true" ma:internalName="MediaServiceBilling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E5D167-D44F-40CE-8403-20237D691D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9e289f-982f-4200-b2a7-e1615d48bc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95C272-8BF9-48D6-A5F1-73279A2BC818}">
  <ds:schemaRefs>
    <ds:schemaRef ds:uri="http://purl.org/dc/elements/1.1/"/>
    <ds:schemaRef ds:uri="http://schemas.microsoft.com/office/infopath/2007/PartnerControls"/>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279e289f-982f-4200-b2a7-e1615d48bc16"/>
    <ds:schemaRef ds:uri="http://www.w3.org/XML/1998/namespace"/>
  </ds:schemaRefs>
</ds:datastoreItem>
</file>

<file path=customXml/itemProps3.xml><?xml version="1.0" encoding="utf-8"?>
<ds:datastoreItem xmlns:ds="http://schemas.openxmlformats.org/officeDocument/2006/customXml" ds:itemID="{9BA43785-2A65-47AD-86F1-11B5E612C7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Navngivne områder</vt:lpstr>
      </vt:variant>
      <vt:variant>
        <vt:i4>22</vt:i4>
      </vt:variant>
    </vt:vector>
  </HeadingPairs>
  <TitlesOfParts>
    <vt:vector size="34" baseType="lpstr">
      <vt:lpstr>User Manual</vt:lpstr>
      <vt:lpstr>Boundaries and Process</vt:lpstr>
      <vt:lpstr>Demand side</vt:lpstr>
      <vt:lpstr>Supply side</vt:lpstr>
      <vt:lpstr>Enabling environment</vt:lpstr>
      <vt:lpstr>Dashboard</vt:lpstr>
      <vt:lpstr>EAMD Scorecard</vt:lpstr>
      <vt:lpstr>Dashboard Comparison</vt:lpstr>
      <vt:lpstr>Labels</vt:lpstr>
      <vt:lpstr>Benchmarks</vt:lpstr>
      <vt:lpstr>Calculation</vt:lpstr>
      <vt:lpstr>Diagram Data</vt:lpstr>
      <vt:lpstr>_no_of_techs</vt:lpstr>
      <vt:lpstr>Country</vt:lpstr>
      <vt:lpstr>Demand_obs</vt:lpstr>
      <vt:lpstr>EnEn_obs</vt:lpstr>
      <vt:lpstr>Geographical_boundaries</vt:lpstr>
      <vt:lpstr>LanguageSelection</vt:lpstr>
      <vt:lpstr>PASdruckasPicture</vt:lpstr>
      <vt:lpstr>Supply_obs</vt:lpstr>
      <vt:lpstr>Target_group_boundaries</vt:lpstr>
      <vt:lpstr>Technological_boundaries</vt:lpstr>
      <vt:lpstr>Technology</vt:lpstr>
      <vt:lpstr>Benchmarks!Udskriftsområde</vt:lpstr>
      <vt:lpstr>'Boundaries and Process'!Udskriftsområde</vt:lpstr>
      <vt:lpstr>Calculation!Udskriftsområde</vt:lpstr>
      <vt:lpstr>Dashboard!Udskriftsområde</vt:lpstr>
      <vt:lpstr>'Dashboard Comparison'!Udskriftsområde</vt:lpstr>
      <vt:lpstr>'Demand side'!Udskriftsområde</vt:lpstr>
      <vt:lpstr>'EAMD Scorecard'!Udskriftsområde</vt:lpstr>
      <vt:lpstr>'Enabling environment'!Udskriftsområde</vt:lpstr>
      <vt:lpstr>'Supply side'!Udskriftsområde</vt:lpstr>
      <vt:lpstr>'User Manual'!Udskriftsområde</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Johanna</dc:creator>
  <cp:keywords/>
  <dc:description/>
  <cp:lastModifiedBy>Kresten Sørensen</cp:lastModifiedBy>
  <cp:revision/>
  <cp:lastPrinted>2024-06-10T12:07:44Z</cp:lastPrinted>
  <dcterms:created xsi:type="dcterms:W3CDTF">2017-11-23T13:29:31Z</dcterms:created>
  <dcterms:modified xsi:type="dcterms:W3CDTF">2025-06-27T12:53:06Z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0x010100FC8F7E3C05828F46AD3E2CBBA5EDCB54</vt:lpwstr>
  </property>
</Properties>
</file>